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3.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user\Desktop\ПРОЕКТ\Внесение изменений на 2023г\В ДЕЛО на 02.02.2023\"/>
    </mc:Choice>
  </mc:AlternateContent>
  <bookViews>
    <workbookView xWindow="2580" yWindow="495" windowWidth="19200" windowHeight="12315" firstSheet="1" activeTab="7"/>
  </bookViews>
  <sheets>
    <sheet name="таблица 1" sheetId="1" state="hidden" r:id="rId1"/>
    <sheet name="таблица 2 " sheetId="15" r:id="rId2"/>
    <sheet name="таблица 3" sheetId="6" r:id="rId3"/>
    <sheet name="таблица 4" sheetId="5" r:id="rId4"/>
    <sheet name="Таблица 5" sheetId="4" r:id="rId5"/>
    <sheet name="Таблица 6" sheetId="3" r:id="rId6"/>
    <sheet name="таблица 7" sheetId="8" r:id="rId7"/>
    <sheet name="таблица 8 " sheetId="12" r:id="rId8"/>
    <sheet name="пост 2372 от 30.12.2022" sheetId="9" state="hidden" r:id="rId9"/>
    <sheet name="2022 год" sheetId="10" state="hidden" r:id="rId10"/>
  </sheets>
  <externalReferences>
    <externalReference r:id="rId11"/>
  </externalReferences>
  <definedNames>
    <definedName name="_ftn1" localSheetId="7">'таблица 8 '!#REF!</definedName>
    <definedName name="_ftnref1" localSheetId="7">'таблица 8 '!$B$12</definedName>
    <definedName name="_Hlk67922527" localSheetId="1">'таблица 2 '!$D$56</definedName>
    <definedName name="_Hlk67925744" localSheetId="1">'таблица 2 '!$D$57</definedName>
    <definedName name="_Hlk68618498" localSheetId="1">'таблица 2 '!$A$225</definedName>
    <definedName name="_Hlk69889099" localSheetId="1">'таблица 2 '!$A$226</definedName>
    <definedName name="_Hlk69889156" localSheetId="1">'таблица 2 '!$A$227</definedName>
    <definedName name="_xlnm.Print_Titles" localSheetId="1">'таблица 2 '!$4:$6</definedName>
    <definedName name="_xlnm.Print_Area" localSheetId="0">'таблица 1'!$A$1:$V$109</definedName>
    <definedName name="_xlnm.Print_Area" localSheetId="1">'таблица 2 '!$A$1:$J$231</definedName>
    <definedName name="_xlnm.Print_Area" localSheetId="7">'таблица 8 '!$A$1:$H$17</definedName>
  </definedNames>
  <calcPr calcId="162913" iterate="1"/>
</workbook>
</file>

<file path=xl/calcChain.xml><?xml version="1.0" encoding="utf-8"?>
<calcChain xmlns="http://schemas.openxmlformats.org/spreadsheetml/2006/main">
  <c r="H187" i="15" l="1"/>
  <c r="I223" i="15"/>
  <c r="H223" i="15"/>
  <c r="G223" i="15"/>
  <c r="F223" i="15"/>
  <c r="J222" i="15"/>
  <c r="I222" i="15"/>
  <c r="H222" i="15"/>
  <c r="G222" i="15"/>
  <c r="F222" i="15"/>
  <c r="J221" i="15"/>
  <c r="I221" i="15"/>
  <c r="H221" i="15"/>
  <c r="G221" i="15"/>
  <c r="F221" i="15"/>
  <c r="I220" i="15"/>
  <c r="H220" i="15"/>
  <c r="G220" i="15"/>
  <c r="F220" i="15"/>
  <c r="I219" i="15"/>
  <c r="H219" i="15"/>
  <c r="G219" i="15"/>
  <c r="F219" i="15"/>
  <c r="J218" i="15"/>
  <c r="I218" i="15"/>
  <c r="H218" i="15"/>
  <c r="G218" i="15"/>
  <c r="F218" i="15"/>
  <c r="H216" i="15"/>
  <c r="G216" i="15"/>
  <c r="F216" i="15"/>
  <c r="J215" i="15"/>
  <c r="I215" i="15"/>
  <c r="H215" i="15"/>
  <c r="G215" i="15"/>
  <c r="F215" i="15"/>
  <c r="J214" i="15"/>
  <c r="I214" i="15"/>
  <c r="H214" i="15"/>
  <c r="G214" i="15"/>
  <c r="F214" i="15"/>
  <c r="I213" i="15"/>
  <c r="G213" i="15"/>
  <c r="F213" i="15"/>
  <c r="J212" i="15"/>
  <c r="I212" i="15"/>
  <c r="H212" i="15"/>
  <c r="G212" i="15"/>
  <c r="F212" i="15"/>
  <c r="J211" i="15"/>
  <c r="I211" i="15"/>
  <c r="H211" i="15"/>
  <c r="G211" i="15"/>
  <c r="F211" i="15"/>
  <c r="I209" i="15"/>
  <c r="H209" i="15"/>
  <c r="G209" i="15"/>
  <c r="F209" i="15"/>
  <c r="I208" i="15"/>
  <c r="H208" i="15"/>
  <c r="G208" i="15"/>
  <c r="F208" i="15"/>
  <c r="I207" i="15"/>
  <c r="H207" i="15"/>
  <c r="G207" i="15"/>
  <c r="F207" i="15"/>
  <c r="I206" i="15"/>
  <c r="H206" i="15"/>
  <c r="G206" i="15"/>
  <c r="F206" i="15"/>
  <c r="I205" i="15"/>
  <c r="H205" i="15"/>
  <c r="G205" i="15"/>
  <c r="F205" i="15"/>
  <c r="I204" i="15"/>
  <c r="I203" i="15" s="1"/>
  <c r="H204" i="15"/>
  <c r="G204" i="15"/>
  <c r="F204" i="15"/>
  <c r="I187" i="15"/>
  <c r="G187" i="15"/>
  <c r="F187" i="15"/>
  <c r="I186" i="15"/>
  <c r="H186" i="15"/>
  <c r="G186" i="15"/>
  <c r="F186" i="15"/>
  <c r="I185" i="15"/>
  <c r="H185" i="15"/>
  <c r="G185" i="15"/>
  <c r="F185" i="15"/>
  <c r="I184" i="15"/>
  <c r="H184" i="15"/>
  <c r="G184" i="15"/>
  <c r="F184" i="15"/>
  <c r="I183" i="15"/>
  <c r="H183" i="15"/>
  <c r="G183" i="15"/>
  <c r="F183" i="15"/>
  <c r="I182" i="15"/>
  <c r="H182" i="15"/>
  <c r="G182" i="15"/>
  <c r="G181" i="15" s="1"/>
  <c r="F182" i="15"/>
  <c r="F181" i="15" s="1"/>
  <c r="I172" i="15"/>
  <c r="H172" i="15"/>
  <c r="G172" i="15"/>
  <c r="F172" i="15"/>
  <c r="I171" i="15"/>
  <c r="H171" i="15"/>
  <c r="G171" i="15"/>
  <c r="F171" i="15"/>
  <c r="I170" i="15"/>
  <c r="H170" i="15"/>
  <c r="G170" i="15"/>
  <c r="F170" i="15"/>
  <c r="I169" i="15"/>
  <c r="H169" i="15"/>
  <c r="G169" i="15"/>
  <c r="G166" i="15" s="1"/>
  <c r="I168" i="15"/>
  <c r="H168" i="15"/>
  <c r="G168" i="15"/>
  <c r="F168" i="15"/>
  <c r="I167" i="15"/>
  <c r="H167" i="15"/>
  <c r="H166" i="15" s="1"/>
  <c r="G167" i="15"/>
  <c r="F167" i="15"/>
  <c r="I157" i="15"/>
  <c r="H157" i="15"/>
  <c r="G157" i="15"/>
  <c r="I156" i="15"/>
  <c r="H156" i="15"/>
  <c r="G156" i="15"/>
  <c r="F156" i="15"/>
  <c r="I155" i="15"/>
  <c r="H155" i="15"/>
  <c r="G155" i="15"/>
  <c r="F155" i="15"/>
  <c r="I154" i="15"/>
  <c r="H154" i="15"/>
  <c r="G154" i="15"/>
  <c r="F154" i="15"/>
  <c r="I153" i="15"/>
  <c r="H153" i="15"/>
  <c r="G153" i="15"/>
  <c r="F153" i="15"/>
  <c r="J152" i="15"/>
  <c r="I152" i="15"/>
  <c r="H152" i="15"/>
  <c r="H151" i="15" s="1"/>
  <c r="G152" i="15"/>
  <c r="F152" i="15"/>
  <c r="J150" i="15"/>
  <c r="J223" i="15" s="1"/>
  <c r="E150" i="15"/>
  <c r="E149" i="15"/>
  <c r="E148" i="15"/>
  <c r="J147" i="15"/>
  <c r="J220" i="15" s="1"/>
  <c r="E147" i="15"/>
  <c r="J146" i="15"/>
  <c r="J153" i="15" s="1"/>
  <c r="E145" i="15"/>
  <c r="J144" i="15"/>
  <c r="I144" i="15"/>
  <c r="H144" i="15"/>
  <c r="G144" i="15"/>
  <c r="F144" i="15"/>
  <c r="J143" i="15"/>
  <c r="J157" i="15" s="1"/>
  <c r="F143" i="15"/>
  <c r="F157" i="15" s="1"/>
  <c r="J142" i="15"/>
  <c r="J156" i="15" s="1"/>
  <c r="J141" i="15"/>
  <c r="J155" i="15" s="1"/>
  <c r="J140" i="15"/>
  <c r="J154" i="15" s="1"/>
  <c r="E139" i="15"/>
  <c r="E138" i="15"/>
  <c r="I137" i="15"/>
  <c r="H137" i="15"/>
  <c r="G137" i="15"/>
  <c r="F137" i="15"/>
  <c r="I135" i="15"/>
  <c r="E128" i="15"/>
  <c r="E127" i="15"/>
  <c r="E126" i="15"/>
  <c r="I125" i="15"/>
  <c r="J125" i="15" s="1"/>
  <c r="E125" i="15" s="1"/>
  <c r="E124" i="15"/>
  <c r="E123" i="15"/>
  <c r="H122" i="15"/>
  <c r="G122" i="15"/>
  <c r="F122" i="15"/>
  <c r="E121" i="15"/>
  <c r="E120" i="15"/>
  <c r="E119" i="15"/>
  <c r="E118" i="15"/>
  <c r="E117" i="15"/>
  <c r="E116" i="15"/>
  <c r="J115" i="15"/>
  <c r="I115" i="15"/>
  <c r="H115" i="15"/>
  <c r="G115" i="15"/>
  <c r="F115" i="15"/>
  <c r="J114" i="15"/>
  <c r="F114" i="15"/>
  <c r="J113" i="15"/>
  <c r="E113" i="15" s="1"/>
  <c r="J112" i="15"/>
  <c r="E112" i="15" s="1"/>
  <c r="J111" i="15"/>
  <c r="E111" i="15" s="1"/>
  <c r="J110" i="15"/>
  <c r="E110" i="15" s="1"/>
  <c r="J109" i="15"/>
  <c r="E109" i="15" s="1"/>
  <c r="I108" i="15"/>
  <c r="H108" i="15"/>
  <c r="G108" i="15"/>
  <c r="F108" i="15"/>
  <c r="J107" i="15"/>
  <c r="F107" i="15"/>
  <c r="J106" i="15"/>
  <c r="E106" i="15" s="1"/>
  <c r="J105" i="15"/>
  <c r="E105" i="15" s="1"/>
  <c r="J104" i="15"/>
  <c r="J101" i="15" s="1"/>
  <c r="H104" i="15"/>
  <c r="G104" i="15"/>
  <c r="F104" i="15"/>
  <c r="H103" i="15"/>
  <c r="H102" i="15"/>
  <c r="E102" i="15" s="1"/>
  <c r="I101" i="15"/>
  <c r="F101" i="15"/>
  <c r="J100" i="15"/>
  <c r="E100" i="15" s="1"/>
  <c r="J99" i="15"/>
  <c r="E99" i="15" s="1"/>
  <c r="J98" i="15"/>
  <c r="E98" i="15" s="1"/>
  <c r="H97" i="15"/>
  <c r="H94" i="15" s="1"/>
  <c r="E96" i="15"/>
  <c r="E95" i="15"/>
  <c r="G94" i="15"/>
  <c r="F94" i="15"/>
  <c r="E93" i="15"/>
  <c r="E92" i="15"/>
  <c r="E91" i="15"/>
  <c r="I90" i="15"/>
  <c r="J90" i="15" s="1"/>
  <c r="J87" i="15" s="1"/>
  <c r="E89" i="15"/>
  <c r="E88" i="15"/>
  <c r="H87" i="15"/>
  <c r="G87" i="15"/>
  <c r="F87" i="15"/>
  <c r="I86" i="15"/>
  <c r="I216" i="15" s="1"/>
  <c r="E85" i="15"/>
  <c r="E84" i="15"/>
  <c r="J83" i="15"/>
  <c r="J213" i="15" s="1"/>
  <c r="H83" i="15"/>
  <c r="H213" i="15" s="1"/>
  <c r="E82" i="15"/>
  <c r="E81" i="15"/>
  <c r="G80" i="15"/>
  <c r="F80" i="15"/>
  <c r="J79" i="15"/>
  <c r="H79" i="15"/>
  <c r="H72" i="15" s="1"/>
  <c r="G79" i="15"/>
  <c r="F79" i="15"/>
  <c r="E78" i="15"/>
  <c r="E77" i="15"/>
  <c r="J76" i="15"/>
  <c r="J73" i="15" s="1"/>
  <c r="H76" i="15"/>
  <c r="G76" i="15"/>
  <c r="F76" i="15"/>
  <c r="F69" i="15" s="1"/>
  <c r="E75" i="15"/>
  <c r="E74" i="15"/>
  <c r="I73" i="15"/>
  <c r="J72" i="15"/>
  <c r="I72" i="15"/>
  <c r="I71" i="15"/>
  <c r="I134" i="15" s="1"/>
  <c r="H71" i="15"/>
  <c r="H134" i="15" s="1"/>
  <c r="G71" i="15"/>
  <c r="G134" i="15" s="1"/>
  <c r="F71" i="15"/>
  <c r="F134" i="15" s="1"/>
  <c r="I70" i="15"/>
  <c r="I133" i="15" s="1"/>
  <c r="H70" i="15"/>
  <c r="H133" i="15" s="1"/>
  <c r="G70" i="15"/>
  <c r="G133" i="15" s="1"/>
  <c r="F70" i="15"/>
  <c r="F133" i="15" s="1"/>
  <c r="I69" i="15"/>
  <c r="J69" i="15" s="1"/>
  <c r="G69" i="15"/>
  <c r="G132" i="15" s="1"/>
  <c r="J68" i="15"/>
  <c r="I68" i="15"/>
  <c r="I131" i="15" s="1"/>
  <c r="H68" i="15"/>
  <c r="G68" i="15"/>
  <c r="G131" i="15" s="1"/>
  <c r="F68" i="15"/>
  <c r="F131" i="15" s="1"/>
  <c r="J67" i="15"/>
  <c r="I67" i="15"/>
  <c r="I130" i="15" s="1"/>
  <c r="H67" i="15"/>
  <c r="H130" i="15" s="1"/>
  <c r="G67" i="15"/>
  <c r="G130" i="15" s="1"/>
  <c r="F67" i="15"/>
  <c r="J65" i="15"/>
  <c r="F65" i="15"/>
  <c r="J64" i="15"/>
  <c r="E64" i="15" s="1"/>
  <c r="J63" i="15"/>
  <c r="E63" i="15"/>
  <c r="J62" i="15"/>
  <c r="F62" i="15"/>
  <c r="J61" i="15"/>
  <c r="J60" i="15"/>
  <c r="I59" i="15"/>
  <c r="H59" i="15"/>
  <c r="G59" i="15"/>
  <c r="E58" i="15"/>
  <c r="E57" i="15"/>
  <c r="E56" i="15"/>
  <c r="J55" i="15"/>
  <c r="E55" i="15"/>
  <c r="E54" i="15"/>
  <c r="E53" i="15"/>
  <c r="J52" i="15"/>
  <c r="I52" i="15"/>
  <c r="H52" i="15"/>
  <c r="G52" i="15"/>
  <c r="F52" i="15"/>
  <c r="E51" i="15"/>
  <c r="E50" i="15"/>
  <c r="E49" i="15"/>
  <c r="E48" i="15"/>
  <c r="E47" i="15"/>
  <c r="E46" i="15"/>
  <c r="J45" i="15"/>
  <c r="I45" i="15"/>
  <c r="H45" i="15"/>
  <c r="E45" i="15" s="1"/>
  <c r="G45" i="15"/>
  <c r="F45" i="15"/>
  <c r="J36" i="15"/>
  <c r="J187" i="15" s="1"/>
  <c r="J35" i="15"/>
  <c r="J186" i="15" s="1"/>
  <c r="J34" i="15"/>
  <c r="J185" i="15" s="1"/>
  <c r="J33" i="15"/>
  <c r="J184" i="15" s="1"/>
  <c r="J32" i="15"/>
  <c r="J183" i="15" s="1"/>
  <c r="J31" i="15"/>
  <c r="J182" i="15" s="1"/>
  <c r="I30" i="15"/>
  <c r="H30" i="15"/>
  <c r="G30" i="15"/>
  <c r="F30" i="15"/>
  <c r="J29" i="15"/>
  <c r="F29" i="15"/>
  <c r="J28" i="15"/>
  <c r="E28" i="15" s="1"/>
  <c r="J27" i="15"/>
  <c r="E27" i="15" s="1"/>
  <c r="J26" i="15"/>
  <c r="H26" i="15"/>
  <c r="H23" i="15" s="1"/>
  <c r="G26" i="15"/>
  <c r="G19" i="15" s="1"/>
  <c r="G40" i="15" s="1"/>
  <c r="F26" i="15"/>
  <c r="F19" i="15" s="1"/>
  <c r="J25" i="15"/>
  <c r="E25" i="15" s="1"/>
  <c r="J24" i="15"/>
  <c r="E24" i="15" s="1"/>
  <c r="I23" i="15"/>
  <c r="I22" i="15"/>
  <c r="J22" i="15" s="1"/>
  <c r="H22" i="15"/>
  <c r="H43" i="15" s="1"/>
  <c r="G22" i="15"/>
  <c r="G43" i="15" s="1"/>
  <c r="I21" i="15"/>
  <c r="J21" i="15" s="1"/>
  <c r="H21" i="15"/>
  <c r="H42" i="15" s="1"/>
  <c r="H163" i="15" s="1"/>
  <c r="G21" i="15"/>
  <c r="G42" i="15" s="1"/>
  <c r="F21" i="15"/>
  <c r="F42" i="15" s="1"/>
  <c r="I20" i="15"/>
  <c r="J20" i="15" s="1"/>
  <c r="H20" i="15"/>
  <c r="H41" i="15" s="1"/>
  <c r="H162" i="15" s="1"/>
  <c r="G20" i="15"/>
  <c r="G41" i="15" s="1"/>
  <c r="F20" i="15"/>
  <c r="F41" i="15" s="1"/>
  <c r="I19" i="15"/>
  <c r="J19" i="15" s="1"/>
  <c r="H19" i="15"/>
  <c r="H40" i="15" s="1"/>
  <c r="I18" i="15"/>
  <c r="J18" i="15" s="1"/>
  <c r="H18" i="15"/>
  <c r="H39" i="15" s="1"/>
  <c r="G18" i="15"/>
  <c r="G39" i="15" s="1"/>
  <c r="F18" i="15"/>
  <c r="F39" i="15" s="1"/>
  <c r="I17" i="15"/>
  <c r="J17" i="15" s="1"/>
  <c r="H17" i="15"/>
  <c r="H38" i="15" s="1"/>
  <c r="G17" i="15"/>
  <c r="G38" i="15" s="1"/>
  <c r="F17" i="15"/>
  <c r="F38" i="15" s="1"/>
  <c r="J15" i="15"/>
  <c r="J172" i="15" s="1"/>
  <c r="J14" i="15"/>
  <c r="J171" i="15" s="1"/>
  <c r="J13" i="15"/>
  <c r="J170" i="15" s="1"/>
  <c r="J12" i="15"/>
  <c r="F12" i="15"/>
  <c r="F169" i="15" s="1"/>
  <c r="J11" i="15"/>
  <c r="E11" i="15" s="1"/>
  <c r="J10" i="15"/>
  <c r="J167" i="15" s="1"/>
  <c r="I9" i="15"/>
  <c r="F9" i="15"/>
  <c r="E144" i="15" l="1"/>
  <c r="I166" i="15"/>
  <c r="G203" i="15"/>
  <c r="I122" i="15"/>
  <c r="J169" i="15"/>
  <c r="E32" i="15"/>
  <c r="E52" i="15"/>
  <c r="H73" i="15"/>
  <c r="F73" i="15"/>
  <c r="E73" i="15" s="1"/>
  <c r="G151" i="15"/>
  <c r="H181" i="15"/>
  <c r="E13" i="15"/>
  <c r="E14" i="15"/>
  <c r="H16" i="15"/>
  <c r="G23" i="15"/>
  <c r="E186" i="15"/>
  <c r="J59" i="15"/>
  <c r="F135" i="15"/>
  <c r="F72" i="15"/>
  <c r="G73" i="15"/>
  <c r="E156" i="15"/>
  <c r="G210" i="15"/>
  <c r="E212" i="15"/>
  <c r="G217" i="15"/>
  <c r="E15" i="15"/>
  <c r="G162" i="15"/>
  <c r="G177" i="15" s="1"/>
  <c r="E34" i="15"/>
  <c r="E154" i="15"/>
  <c r="E152" i="15"/>
  <c r="E207" i="15"/>
  <c r="J207" i="15"/>
  <c r="E26" i="15"/>
  <c r="E184" i="15"/>
  <c r="E36" i="15"/>
  <c r="H131" i="15"/>
  <c r="H160" i="15" s="1"/>
  <c r="I80" i="15"/>
  <c r="E146" i="15"/>
  <c r="I217" i="15"/>
  <c r="G160" i="15"/>
  <c r="G175" i="15" s="1"/>
  <c r="E221" i="15"/>
  <c r="J30" i="15"/>
  <c r="E30" i="15" s="1"/>
  <c r="F59" i="15"/>
  <c r="I66" i="15"/>
  <c r="J71" i="15"/>
  <c r="J134" i="15" s="1"/>
  <c r="E134" i="15" s="1"/>
  <c r="I210" i="15"/>
  <c r="E115" i="15"/>
  <c r="F203" i="15"/>
  <c r="J205" i="15"/>
  <c r="E205" i="15" s="1"/>
  <c r="J209" i="15"/>
  <c r="E209" i="15" s="1"/>
  <c r="E215" i="15"/>
  <c r="F217" i="15"/>
  <c r="J219" i="15"/>
  <c r="J217" i="15" s="1"/>
  <c r="E223" i="15"/>
  <c r="E171" i="15"/>
  <c r="I16" i="15"/>
  <c r="E18" i="15"/>
  <c r="E20" i="15"/>
  <c r="J23" i="15"/>
  <c r="I40" i="15"/>
  <c r="J131" i="15"/>
  <c r="E131" i="15" s="1"/>
  <c r="J135" i="15"/>
  <c r="J70" i="15"/>
  <c r="E70" i="15" s="1"/>
  <c r="E76" i="15"/>
  <c r="H210" i="15"/>
  <c r="J108" i="15"/>
  <c r="E108" i="15" s="1"/>
  <c r="E141" i="15"/>
  <c r="E143" i="15"/>
  <c r="I181" i="15"/>
  <c r="J204" i="15"/>
  <c r="E204" i="15" s="1"/>
  <c r="J208" i="15"/>
  <c r="E208" i="15" s="1"/>
  <c r="E214" i="15"/>
  <c r="E218" i="15"/>
  <c r="E222" i="15"/>
  <c r="G161" i="15"/>
  <c r="G191" i="15" s="1"/>
  <c r="G163" i="15"/>
  <c r="G201" i="15" s="1"/>
  <c r="E29" i="15"/>
  <c r="E31" i="15"/>
  <c r="E33" i="15"/>
  <c r="E35" i="15"/>
  <c r="I38" i="15"/>
  <c r="I159" i="15" s="1"/>
  <c r="I189" i="15" s="1"/>
  <c r="I42" i="15"/>
  <c r="I163" i="15" s="1"/>
  <c r="I201" i="15" s="1"/>
  <c r="F66" i="15"/>
  <c r="J86" i="15"/>
  <c r="E104" i="15"/>
  <c r="E114" i="15"/>
  <c r="E140" i="15"/>
  <c r="E142" i="15"/>
  <c r="I151" i="15"/>
  <c r="E183" i="15"/>
  <c r="E185" i="15"/>
  <c r="E187" i="15"/>
  <c r="H203" i="15"/>
  <c r="J206" i="15"/>
  <c r="E206" i="15" s="1"/>
  <c r="F210" i="15"/>
  <c r="H217" i="15"/>
  <c r="E220" i="15"/>
  <c r="F166" i="15"/>
  <c r="E169" i="15"/>
  <c r="H192" i="15"/>
  <c r="H177" i="15"/>
  <c r="H200" i="15"/>
  <c r="G176" i="15"/>
  <c r="E167" i="15"/>
  <c r="F160" i="15"/>
  <c r="F162" i="15"/>
  <c r="F163" i="15"/>
  <c r="G192" i="15"/>
  <c r="E157" i="15"/>
  <c r="F151" i="15"/>
  <c r="J151" i="15"/>
  <c r="E153" i="15"/>
  <c r="E155" i="15"/>
  <c r="H159" i="15"/>
  <c r="H37" i="15"/>
  <c r="H178" i="15"/>
  <c r="H201" i="15"/>
  <c r="H193" i="15"/>
  <c r="J181" i="15"/>
  <c r="E182" i="15"/>
  <c r="G190" i="15"/>
  <c r="G198" i="15"/>
  <c r="G159" i="15"/>
  <c r="G37" i="15"/>
  <c r="G178" i="15"/>
  <c r="I193" i="15"/>
  <c r="J16" i="15"/>
  <c r="E170" i="15"/>
  <c r="E172" i="15"/>
  <c r="E213" i="15"/>
  <c r="G107" i="15"/>
  <c r="E10" i="15"/>
  <c r="E12" i="15"/>
  <c r="F23" i="15"/>
  <c r="E23" i="15" s="1"/>
  <c r="J39" i="15"/>
  <c r="J41" i="15"/>
  <c r="J43" i="15"/>
  <c r="J164" i="15" s="1"/>
  <c r="E60" i="15"/>
  <c r="E62" i="15"/>
  <c r="E67" i="15"/>
  <c r="E71" i="15"/>
  <c r="G72" i="15"/>
  <c r="E83" i="15"/>
  <c r="I87" i="15"/>
  <c r="E87" i="15" s="1"/>
  <c r="E90" i="15"/>
  <c r="I97" i="15"/>
  <c r="E103" i="15"/>
  <c r="J122" i="15"/>
  <c r="E122" i="15" s="1"/>
  <c r="F130" i="15"/>
  <c r="F159" i="15" s="1"/>
  <c r="J130" i="15"/>
  <c r="F132" i="15"/>
  <c r="J137" i="15"/>
  <c r="E137" i="15" s="1"/>
  <c r="J168" i="15"/>
  <c r="E168" i="15" s="1"/>
  <c r="E211" i="15"/>
  <c r="J9" i="15"/>
  <c r="E9" i="15" s="1"/>
  <c r="G16" i="15"/>
  <c r="E17" i="15"/>
  <c r="E19" i="15"/>
  <c r="E21" i="15"/>
  <c r="I39" i="15"/>
  <c r="I160" i="15" s="1"/>
  <c r="I41" i="15"/>
  <c r="I162" i="15" s="1"/>
  <c r="I43" i="15"/>
  <c r="I164" i="15" s="1"/>
  <c r="E65" i="15"/>
  <c r="H69" i="15"/>
  <c r="E69" i="15" s="1"/>
  <c r="E79" i="15"/>
  <c r="H80" i="15"/>
  <c r="F22" i="15"/>
  <c r="J38" i="15"/>
  <c r="F40" i="15"/>
  <c r="J40" i="15"/>
  <c r="J42" i="15"/>
  <c r="E61" i="15"/>
  <c r="E68" i="15"/>
  <c r="I197" i="15" l="1"/>
  <c r="E38" i="15"/>
  <c r="G193" i="15"/>
  <c r="G200" i="15"/>
  <c r="I174" i="15"/>
  <c r="J160" i="15"/>
  <c r="J175" i="15" s="1"/>
  <c r="E217" i="15"/>
  <c r="E219" i="15"/>
  <c r="E59" i="15"/>
  <c r="E181" i="15"/>
  <c r="H198" i="15"/>
  <c r="H190" i="15"/>
  <c r="H175" i="15"/>
  <c r="I178" i="15"/>
  <c r="J166" i="15"/>
  <c r="J203" i="15"/>
  <c r="E203" i="15" s="1"/>
  <c r="G199" i="15"/>
  <c r="J66" i="15"/>
  <c r="J133" i="15"/>
  <c r="E133" i="15" s="1"/>
  <c r="J216" i="15"/>
  <c r="E86" i="15"/>
  <c r="J80" i="15"/>
  <c r="E80" i="15" s="1"/>
  <c r="J162" i="15"/>
  <c r="J163" i="15"/>
  <c r="J201" i="15" s="1"/>
  <c r="F189" i="15"/>
  <c r="F174" i="15"/>
  <c r="F197" i="15"/>
  <c r="F161" i="15"/>
  <c r="E40" i="15"/>
  <c r="G135" i="15"/>
  <c r="G66" i="15"/>
  <c r="J190" i="15"/>
  <c r="F175" i="15"/>
  <c r="F198" i="15"/>
  <c r="F190" i="15"/>
  <c r="E160" i="15"/>
  <c r="J178" i="15"/>
  <c r="J177" i="15"/>
  <c r="J200" i="15"/>
  <c r="J192" i="15"/>
  <c r="E42" i="15"/>
  <c r="E39" i="15"/>
  <c r="I200" i="15"/>
  <c r="I192" i="15"/>
  <c r="I177" i="15"/>
  <c r="I94" i="15"/>
  <c r="I132" i="15"/>
  <c r="J97" i="15"/>
  <c r="E97" i="15" s="1"/>
  <c r="I202" i="15"/>
  <c r="I194" i="15"/>
  <c r="I179" i="15"/>
  <c r="G101" i="15"/>
  <c r="G197" i="15"/>
  <c r="G189" i="15"/>
  <c r="G174" i="15"/>
  <c r="F193" i="15"/>
  <c r="E163" i="15"/>
  <c r="F178" i="15"/>
  <c r="F201" i="15"/>
  <c r="F16" i="15"/>
  <c r="E16" i="15" s="1"/>
  <c r="F43" i="15"/>
  <c r="E22" i="15"/>
  <c r="J159" i="15"/>
  <c r="J37" i="15"/>
  <c r="H132" i="15"/>
  <c r="H66" i="15"/>
  <c r="I198" i="15"/>
  <c r="I190" i="15"/>
  <c r="I175" i="15"/>
  <c r="F129" i="15"/>
  <c r="E130" i="15"/>
  <c r="J179" i="15"/>
  <c r="J202" i="15"/>
  <c r="J194" i="15"/>
  <c r="H174" i="15"/>
  <c r="H197" i="15"/>
  <c r="H189" i="15"/>
  <c r="F177" i="15"/>
  <c r="F200" i="15"/>
  <c r="E200" i="15" s="1"/>
  <c r="F192" i="15"/>
  <c r="E192" i="15" s="1"/>
  <c r="E162" i="15"/>
  <c r="E72" i="15"/>
  <c r="E41" i="15"/>
  <c r="E166" i="15"/>
  <c r="I37" i="15"/>
  <c r="E151" i="15"/>
  <c r="E178" i="15" l="1"/>
  <c r="J198" i="15"/>
  <c r="E198" i="15" s="1"/>
  <c r="J193" i="15"/>
  <c r="E193" i="15" s="1"/>
  <c r="E190" i="15"/>
  <c r="E177" i="15"/>
  <c r="E216" i="15"/>
  <c r="J210" i="15"/>
  <c r="E210" i="15" s="1"/>
  <c r="E201" i="15"/>
  <c r="E66" i="15"/>
  <c r="J189" i="15"/>
  <c r="J174" i="15"/>
  <c r="E174" i="15" s="1"/>
  <c r="J197" i="15"/>
  <c r="E197" i="15" s="1"/>
  <c r="E189" i="15"/>
  <c r="G164" i="15"/>
  <c r="G129" i="15"/>
  <c r="H161" i="15"/>
  <c r="F164" i="15"/>
  <c r="E43" i="15"/>
  <c r="I129" i="15"/>
  <c r="I161" i="15"/>
  <c r="H107" i="15"/>
  <c r="J94" i="15"/>
  <c r="E94" i="15" s="1"/>
  <c r="J132" i="15"/>
  <c r="E132" i="15" s="1"/>
  <c r="F191" i="15"/>
  <c r="F176" i="15"/>
  <c r="F199" i="15"/>
  <c r="E175" i="15"/>
  <c r="F37" i="15"/>
  <c r="E37" i="15" s="1"/>
  <c r="E159" i="15"/>
  <c r="G194" i="15" l="1"/>
  <c r="G188" i="15" s="1"/>
  <c r="G179" i="15"/>
  <c r="G173" i="15" s="1"/>
  <c r="G202" i="15"/>
  <c r="G196" i="15" s="1"/>
  <c r="G158" i="15"/>
  <c r="J161" i="15"/>
  <c r="J129" i="15"/>
  <c r="I191" i="15"/>
  <c r="I188" i="15" s="1"/>
  <c r="I176" i="15"/>
  <c r="I173" i="15" s="1"/>
  <c r="I199" i="15"/>
  <c r="I196" i="15" s="1"/>
  <c r="I158" i="15"/>
  <c r="H176" i="15"/>
  <c r="H199" i="15"/>
  <c r="H191" i="15"/>
  <c r="H101" i="15"/>
  <c r="E101" i="15" s="1"/>
  <c r="H135" i="15"/>
  <c r="E107" i="15"/>
  <c r="F179" i="15"/>
  <c r="F173" i="15" s="1"/>
  <c r="F202" i="15"/>
  <c r="F194" i="15"/>
  <c r="F158" i="15"/>
  <c r="H164" i="15" l="1"/>
  <c r="H129" i="15"/>
  <c r="E129" i="15" s="1"/>
  <c r="E135" i="15"/>
  <c r="F188" i="15"/>
  <c r="J191" i="15"/>
  <c r="J176" i="15"/>
  <c r="J173" i="15" s="1"/>
  <c r="J199" i="15"/>
  <c r="J196" i="15" s="1"/>
  <c r="J158" i="15"/>
  <c r="E161" i="15"/>
  <c r="F196" i="15"/>
  <c r="E199" i="15" l="1"/>
  <c r="J188" i="15"/>
  <c r="E191" i="15"/>
  <c r="H194" i="15"/>
  <c r="H179" i="15"/>
  <c r="H202" i="15"/>
  <c r="H158" i="15"/>
  <c r="E158" i="15" s="1"/>
  <c r="E164" i="15"/>
  <c r="E176" i="15"/>
  <c r="H173" i="15" l="1"/>
  <c r="E173" i="15" s="1"/>
  <c r="E179" i="15"/>
  <c r="E202" i="15"/>
  <c r="H196" i="15"/>
  <c r="E196" i="15" s="1"/>
  <c r="H188" i="15"/>
  <c r="E188" i="15" s="1"/>
  <c r="E194" i="15"/>
  <c r="K16" i="5" l="1"/>
  <c r="J16" i="5"/>
  <c r="H16" i="5" s="1"/>
  <c r="I31" i="5" l="1"/>
  <c r="J31" i="5"/>
  <c r="K31" i="5"/>
  <c r="I32" i="5"/>
  <c r="J32" i="5"/>
  <c r="K32" i="5"/>
  <c r="I33" i="5"/>
  <c r="J33" i="5"/>
  <c r="K33" i="5"/>
  <c r="I34" i="5"/>
  <c r="J34" i="5"/>
  <c r="K34" i="5"/>
  <c r="I35" i="5"/>
  <c r="J35" i="5"/>
  <c r="K35" i="5"/>
  <c r="J36" i="5"/>
  <c r="K36" i="5"/>
  <c r="I36" i="5"/>
  <c r="I9" i="5"/>
  <c r="I23" i="5" l="1"/>
  <c r="I30" i="5" l="1"/>
  <c r="J23" i="5" l="1"/>
  <c r="K23" i="5"/>
  <c r="H24" i="5"/>
  <c r="H25" i="5"/>
  <c r="H26" i="5"/>
  <c r="H27" i="5"/>
  <c r="H28" i="5"/>
  <c r="H29" i="5"/>
  <c r="D9" i="5"/>
  <c r="H23" i="5" l="1"/>
  <c r="H62" i="1" l="1"/>
  <c r="H63" i="1"/>
  <c r="H64" i="1"/>
  <c r="H65" i="1"/>
  <c r="H66" i="1"/>
  <c r="H61" i="1"/>
  <c r="R58" i="1" l="1"/>
  <c r="R57" i="1"/>
  <c r="R56" i="1"/>
  <c r="R55" i="1"/>
  <c r="R54" i="1"/>
  <c r="R53" i="1"/>
  <c r="O53" i="1"/>
  <c r="O54" i="1"/>
  <c r="O55" i="1"/>
  <c r="O56" i="1"/>
  <c r="O57" i="1"/>
  <c r="O58" i="1"/>
  <c r="M58" i="1"/>
  <c r="M53" i="1"/>
  <c r="M54" i="1"/>
  <c r="M55" i="1"/>
  <c r="M56" i="1"/>
  <c r="M57" i="1"/>
  <c r="K58" i="1"/>
  <c r="K53" i="1"/>
  <c r="K54" i="1"/>
  <c r="K55" i="1"/>
  <c r="K56" i="1"/>
  <c r="K57" i="1"/>
  <c r="K52" i="1"/>
  <c r="K44" i="1" s="1"/>
  <c r="H53" i="1"/>
  <c r="H45" i="1" s="1"/>
  <c r="H54" i="1"/>
  <c r="H46" i="1" s="1"/>
  <c r="H56" i="1"/>
  <c r="H48" i="1" s="1"/>
  <c r="H57" i="1"/>
  <c r="H49" i="1" s="1"/>
  <c r="H58" i="1"/>
  <c r="H50" i="1" s="1"/>
  <c r="H32" i="5" l="1"/>
  <c r="H34" i="5"/>
  <c r="H35" i="5"/>
  <c r="H31" i="5"/>
  <c r="H15" i="5"/>
  <c r="N331" i="10" l="1"/>
  <c r="N330" i="10"/>
  <c r="N329" i="10"/>
  <c r="N326" i="10"/>
  <c r="E326" i="10"/>
  <c r="N325" i="10"/>
  <c r="N324" i="10"/>
  <c r="N316" i="10"/>
  <c r="N315" i="10"/>
  <c r="N307" i="10"/>
  <c r="N299" i="10"/>
  <c r="N298" i="10"/>
  <c r="N297" i="10"/>
  <c r="N289" i="10"/>
  <c r="N288" i="10"/>
  <c r="N287" i="10"/>
  <c r="N286" i="10"/>
  <c r="N285" i="10"/>
  <c r="N284" i="10"/>
  <c r="N283" i="10"/>
  <c r="N282" i="10"/>
  <c r="N281" i="10"/>
  <c r="N280" i="10"/>
  <c r="P279" i="10"/>
  <c r="L279" i="10"/>
  <c r="K279" i="10"/>
  <c r="J279" i="10"/>
  <c r="I279" i="10"/>
  <c r="H279" i="10"/>
  <c r="G279" i="10"/>
  <c r="F279" i="10"/>
  <c r="P278" i="10"/>
  <c r="L278" i="10"/>
  <c r="K278" i="10"/>
  <c r="J278" i="10"/>
  <c r="I278" i="10"/>
  <c r="H278" i="10"/>
  <c r="G278" i="10"/>
  <c r="F278" i="10"/>
  <c r="P277" i="10"/>
  <c r="L277" i="10"/>
  <c r="K277" i="10"/>
  <c r="J277" i="10"/>
  <c r="I277" i="10"/>
  <c r="H277" i="10"/>
  <c r="G277" i="10"/>
  <c r="F277" i="10"/>
  <c r="P276" i="10"/>
  <c r="L276" i="10"/>
  <c r="K276" i="10"/>
  <c r="J276" i="10"/>
  <c r="I276" i="10"/>
  <c r="H276" i="10"/>
  <c r="G276" i="10"/>
  <c r="F276" i="10"/>
  <c r="P275" i="10"/>
  <c r="L275" i="10"/>
  <c r="K275" i="10"/>
  <c r="J275" i="10"/>
  <c r="I275" i="10"/>
  <c r="I327" i="10" s="1"/>
  <c r="N327" i="10" s="1"/>
  <c r="H275" i="10"/>
  <c r="G275" i="10"/>
  <c r="F275" i="10"/>
  <c r="P274" i="10"/>
  <c r="L274" i="10"/>
  <c r="K274" i="10"/>
  <c r="J274" i="10"/>
  <c r="I274" i="10"/>
  <c r="H274" i="10"/>
  <c r="H273" i="10" s="1"/>
  <c r="G274" i="10"/>
  <c r="F274" i="10"/>
  <c r="P272" i="10"/>
  <c r="L272" i="10"/>
  <c r="K272" i="10"/>
  <c r="J272" i="10"/>
  <c r="I272" i="10"/>
  <c r="H272" i="10"/>
  <c r="G272" i="10"/>
  <c r="F272" i="10"/>
  <c r="P271" i="10"/>
  <c r="L271" i="10"/>
  <c r="K271" i="10"/>
  <c r="J271" i="10"/>
  <c r="I271" i="10"/>
  <c r="H271" i="10"/>
  <c r="G271" i="10"/>
  <c r="F271" i="10"/>
  <c r="P270" i="10"/>
  <c r="L270" i="10"/>
  <c r="K270" i="10"/>
  <c r="J270" i="10"/>
  <c r="I270" i="10"/>
  <c r="H270" i="10"/>
  <c r="G270" i="10"/>
  <c r="F270" i="10"/>
  <c r="P269" i="10"/>
  <c r="K269" i="10"/>
  <c r="J269" i="10"/>
  <c r="I269" i="10"/>
  <c r="P268" i="10"/>
  <c r="L268" i="10"/>
  <c r="K268" i="10"/>
  <c r="J268" i="10"/>
  <c r="I268" i="10"/>
  <c r="H268" i="10"/>
  <c r="G268" i="10"/>
  <c r="F268" i="10"/>
  <c r="P267" i="10"/>
  <c r="L267" i="10"/>
  <c r="K267" i="10"/>
  <c r="J267" i="10"/>
  <c r="I267" i="10"/>
  <c r="H267" i="10"/>
  <c r="G267" i="10"/>
  <c r="F267" i="10"/>
  <c r="L265" i="10"/>
  <c r="K265" i="10"/>
  <c r="J265" i="10"/>
  <c r="H265" i="10"/>
  <c r="G265" i="10"/>
  <c r="F265" i="10"/>
  <c r="P264" i="10"/>
  <c r="L264" i="10"/>
  <c r="K264" i="10"/>
  <c r="J264" i="10"/>
  <c r="I264" i="10"/>
  <c r="N264" i="10" s="1"/>
  <c r="H264" i="10"/>
  <c r="G264" i="10"/>
  <c r="F264" i="10"/>
  <c r="P263" i="10"/>
  <c r="L263" i="10"/>
  <c r="K263" i="10"/>
  <c r="J263" i="10"/>
  <c r="I263" i="10"/>
  <c r="N263" i="10" s="1"/>
  <c r="H263" i="10"/>
  <c r="G263" i="10"/>
  <c r="F263" i="10"/>
  <c r="L262" i="10"/>
  <c r="K262" i="10"/>
  <c r="J262" i="10"/>
  <c r="G262" i="10"/>
  <c r="P261" i="10"/>
  <c r="L261" i="10"/>
  <c r="K261" i="10"/>
  <c r="J261" i="10"/>
  <c r="I261" i="10"/>
  <c r="H261" i="10"/>
  <c r="G261" i="10"/>
  <c r="F261" i="10"/>
  <c r="P260" i="10"/>
  <c r="L260" i="10"/>
  <c r="K260" i="10"/>
  <c r="J260" i="10"/>
  <c r="I260" i="10"/>
  <c r="H260" i="10"/>
  <c r="G260" i="10"/>
  <c r="F260" i="10"/>
  <c r="P258" i="10"/>
  <c r="J258" i="10"/>
  <c r="H258" i="10"/>
  <c r="P257" i="10"/>
  <c r="L257" i="10"/>
  <c r="K257" i="10"/>
  <c r="J257" i="10"/>
  <c r="I257" i="10"/>
  <c r="N257" i="10" s="1"/>
  <c r="H257" i="10"/>
  <c r="P256" i="10"/>
  <c r="L256" i="10"/>
  <c r="K256" i="10"/>
  <c r="J256" i="10"/>
  <c r="I256" i="10"/>
  <c r="H256" i="10"/>
  <c r="P255" i="10"/>
  <c r="K255" i="10"/>
  <c r="J255" i="10"/>
  <c r="H255" i="10"/>
  <c r="P254" i="10"/>
  <c r="L254" i="10"/>
  <c r="K254" i="10"/>
  <c r="J254" i="10"/>
  <c r="I254" i="10"/>
  <c r="N254" i="10" s="1"/>
  <c r="H254" i="10"/>
  <c r="P253" i="10"/>
  <c r="L253" i="10"/>
  <c r="K253" i="10"/>
  <c r="J253" i="10"/>
  <c r="I253" i="10"/>
  <c r="H253" i="10"/>
  <c r="G252" i="10"/>
  <c r="F252" i="10"/>
  <c r="R248" i="10"/>
  <c r="R249" i="10" s="1"/>
  <c r="N244" i="10"/>
  <c r="L236" i="10"/>
  <c r="K236" i="10"/>
  <c r="J236" i="10"/>
  <c r="H236" i="10"/>
  <c r="G236" i="10"/>
  <c r="F236" i="10"/>
  <c r="P235" i="10"/>
  <c r="L235" i="10"/>
  <c r="K235" i="10"/>
  <c r="J235" i="10"/>
  <c r="I235" i="10"/>
  <c r="H235" i="10"/>
  <c r="G235" i="10"/>
  <c r="F235" i="10"/>
  <c r="P234" i="10"/>
  <c r="L234" i="10"/>
  <c r="K234" i="10"/>
  <c r="J234" i="10"/>
  <c r="I234" i="10"/>
  <c r="H234" i="10"/>
  <c r="G234" i="10"/>
  <c r="F234" i="10"/>
  <c r="L233" i="10"/>
  <c r="K233" i="10"/>
  <c r="J233" i="10"/>
  <c r="G233" i="10"/>
  <c r="P232" i="10"/>
  <c r="L232" i="10"/>
  <c r="K232" i="10"/>
  <c r="J232" i="10"/>
  <c r="I232" i="10"/>
  <c r="H232" i="10"/>
  <c r="G232" i="10"/>
  <c r="F232" i="10"/>
  <c r="P231" i="10"/>
  <c r="L231" i="10"/>
  <c r="K231" i="10"/>
  <c r="J231" i="10"/>
  <c r="I231" i="10"/>
  <c r="H231" i="10"/>
  <c r="G231" i="10"/>
  <c r="F231" i="10"/>
  <c r="P221" i="10"/>
  <c r="L221" i="10"/>
  <c r="K221" i="10"/>
  <c r="J221" i="10"/>
  <c r="I221" i="10"/>
  <c r="H221" i="10"/>
  <c r="G221" i="10"/>
  <c r="F221" i="10"/>
  <c r="P220" i="10"/>
  <c r="L220" i="10"/>
  <c r="K220" i="10"/>
  <c r="J220" i="10"/>
  <c r="I220" i="10"/>
  <c r="H220" i="10"/>
  <c r="G220" i="10"/>
  <c r="F220" i="10"/>
  <c r="P219" i="10"/>
  <c r="L219" i="10"/>
  <c r="K219" i="10"/>
  <c r="J219" i="10"/>
  <c r="I219" i="10"/>
  <c r="H219" i="10"/>
  <c r="G219" i="10"/>
  <c r="F219" i="10"/>
  <c r="P218" i="10"/>
  <c r="L218" i="10"/>
  <c r="K218" i="10"/>
  <c r="J218" i="10"/>
  <c r="I218" i="10"/>
  <c r="H218" i="10"/>
  <c r="G218" i="10"/>
  <c r="F218" i="10"/>
  <c r="P217" i="10"/>
  <c r="L217" i="10"/>
  <c r="K217" i="10"/>
  <c r="J217" i="10"/>
  <c r="I217" i="10"/>
  <c r="H217" i="10"/>
  <c r="G217" i="10"/>
  <c r="F217" i="10"/>
  <c r="P216" i="10"/>
  <c r="P215" i="10" s="1"/>
  <c r="L216" i="10"/>
  <c r="L215" i="10" s="1"/>
  <c r="K216" i="10"/>
  <c r="K215" i="10" s="1"/>
  <c r="J216" i="10"/>
  <c r="J215" i="10" s="1"/>
  <c r="I216" i="10"/>
  <c r="H216" i="10"/>
  <c r="H215" i="10" s="1"/>
  <c r="G216" i="10"/>
  <c r="G215" i="10" s="1"/>
  <c r="F216" i="10"/>
  <c r="N214" i="10"/>
  <c r="N199" i="10"/>
  <c r="E199" i="10"/>
  <c r="N198" i="10"/>
  <c r="E198" i="10"/>
  <c r="N197" i="10"/>
  <c r="E197" i="10"/>
  <c r="N196" i="10"/>
  <c r="L196" i="10"/>
  <c r="E196" i="10" s="1"/>
  <c r="N195" i="10"/>
  <c r="E195" i="10"/>
  <c r="N194" i="10"/>
  <c r="E194" i="10"/>
  <c r="P193" i="10"/>
  <c r="K193" i="10"/>
  <c r="J193" i="10"/>
  <c r="I193" i="10"/>
  <c r="H193" i="10"/>
  <c r="G193" i="10"/>
  <c r="F193" i="10"/>
  <c r="I192" i="10"/>
  <c r="N192" i="10" s="1"/>
  <c r="N191" i="10"/>
  <c r="E191" i="10"/>
  <c r="N190" i="10"/>
  <c r="E190" i="10"/>
  <c r="L189" i="10"/>
  <c r="I189" i="10"/>
  <c r="N189" i="10" s="1"/>
  <c r="N188" i="10"/>
  <c r="E188" i="10"/>
  <c r="N187" i="10"/>
  <c r="E187" i="10"/>
  <c r="P186" i="10"/>
  <c r="J186" i="10"/>
  <c r="K192" i="10" s="1"/>
  <c r="H186" i="10"/>
  <c r="G186" i="10"/>
  <c r="F186" i="10"/>
  <c r="P185" i="10"/>
  <c r="P178" i="10" s="1"/>
  <c r="P206" i="10" s="1"/>
  <c r="I185" i="10"/>
  <c r="N184" i="10"/>
  <c r="E184" i="10"/>
  <c r="N183" i="10"/>
  <c r="E183" i="10"/>
  <c r="P182" i="10"/>
  <c r="P175" i="10" s="1"/>
  <c r="P203" i="10" s="1"/>
  <c r="K182" i="10"/>
  <c r="L182" i="10" s="1"/>
  <c r="J182" i="10"/>
  <c r="J179" i="10" s="1"/>
  <c r="I182" i="10"/>
  <c r="H182" i="10"/>
  <c r="G182" i="10"/>
  <c r="G175" i="10" s="1"/>
  <c r="G203" i="10" s="1"/>
  <c r="F182" i="10"/>
  <c r="F179" i="10" s="1"/>
  <c r="N181" i="10"/>
  <c r="E181" i="10"/>
  <c r="N180" i="10"/>
  <c r="E180" i="10"/>
  <c r="I179" i="10"/>
  <c r="H179" i="10"/>
  <c r="J178" i="10"/>
  <c r="J206" i="10" s="1"/>
  <c r="H178" i="10"/>
  <c r="H206" i="10" s="1"/>
  <c r="G178" i="10"/>
  <c r="G206" i="10" s="1"/>
  <c r="F178" i="10"/>
  <c r="F206" i="10" s="1"/>
  <c r="P177" i="10"/>
  <c r="P205" i="10" s="1"/>
  <c r="L177" i="10"/>
  <c r="L205" i="10" s="1"/>
  <c r="K177" i="10"/>
  <c r="K205" i="10" s="1"/>
  <c r="J177" i="10"/>
  <c r="J205" i="10" s="1"/>
  <c r="I177" i="10"/>
  <c r="I205" i="10" s="1"/>
  <c r="H177" i="10"/>
  <c r="H205" i="10" s="1"/>
  <c r="G177" i="10"/>
  <c r="G205" i="10" s="1"/>
  <c r="F177" i="10"/>
  <c r="F205" i="10" s="1"/>
  <c r="P176" i="10"/>
  <c r="P204" i="10" s="1"/>
  <c r="L176" i="10"/>
  <c r="L204" i="10" s="1"/>
  <c r="K176" i="10"/>
  <c r="K204" i="10" s="1"/>
  <c r="J176" i="10"/>
  <c r="J204" i="10" s="1"/>
  <c r="I176" i="10"/>
  <c r="I204" i="10" s="1"/>
  <c r="H176" i="10"/>
  <c r="H204" i="10" s="1"/>
  <c r="G176" i="10"/>
  <c r="G204" i="10" s="1"/>
  <c r="F176" i="10"/>
  <c r="F204" i="10" s="1"/>
  <c r="H175" i="10"/>
  <c r="H203" i="10" s="1"/>
  <c r="P174" i="10"/>
  <c r="P202" i="10" s="1"/>
  <c r="L174" i="10"/>
  <c r="L202" i="10" s="1"/>
  <c r="K174" i="10"/>
  <c r="K202" i="10" s="1"/>
  <c r="J174" i="10"/>
  <c r="J202" i="10" s="1"/>
  <c r="I174" i="10"/>
  <c r="I202" i="10" s="1"/>
  <c r="H174" i="10"/>
  <c r="H202" i="10" s="1"/>
  <c r="G174" i="10"/>
  <c r="G202" i="10" s="1"/>
  <c r="F174" i="10"/>
  <c r="F202" i="10" s="1"/>
  <c r="P173" i="10"/>
  <c r="P201" i="10" s="1"/>
  <c r="L173" i="10"/>
  <c r="K173" i="10"/>
  <c r="J173" i="10"/>
  <c r="J201" i="10" s="1"/>
  <c r="I173" i="10"/>
  <c r="I201" i="10" s="1"/>
  <c r="H173" i="10"/>
  <c r="G173" i="10"/>
  <c r="F173" i="10"/>
  <c r="F201" i="10" s="1"/>
  <c r="N171" i="10"/>
  <c r="N163" i="10"/>
  <c r="E163" i="10"/>
  <c r="N162" i="10"/>
  <c r="E162" i="10"/>
  <c r="N161" i="10"/>
  <c r="E161" i="10"/>
  <c r="N160" i="10"/>
  <c r="E160" i="10"/>
  <c r="N159" i="10"/>
  <c r="E159" i="10"/>
  <c r="N158" i="10"/>
  <c r="E158" i="10"/>
  <c r="P157" i="10"/>
  <c r="L157" i="10"/>
  <c r="K157" i="10"/>
  <c r="J157" i="10"/>
  <c r="I157" i="10"/>
  <c r="H157" i="10"/>
  <c r="G157" i="10"/>
  <c r="F157" i="10"/>
  <c r="I156" i="10"/>
  <c r="N156" i="10" s="1"/>
  <c r="N155" i="10"/>
  <c r="E155" i="10"/>
  <c r="N154" i="10"/>
  <c r="E154" i="10"/>
  <c r="L153" i="10"/>
  <c r="I153" i="10"/>
  <c r="N152" i="10"/>
  <c r="E152" i="10"/>
  <c r="N151" i="10"/>
  <c r="E151" i="10"/>
  <c r="P150" i="10"/>
  <c r="K150" i="10"/>
  <c r="J150" i="10"/>
  <c r="H150" i="10"/>
  <c r="G150" i="10"/>
  <c r="F150" i="10"/>
  <c r="R149" i="10"/>
  <c r="P149" i="10"/>
  <c r="P142" i="10" s="1"/>
  <c r="N148" i="10"/>
  <c r="E148" i="10"/>
  <c r="N147" i="10"/>
  <c r="E147" i="10"/>
  <c r="P146" i="10"/>
  <c r="K146" i="10"/>
  <c r="J146" i="10"/>
  <c r="I146" i="10"/>
  <c r="H146" i="10"/>
  <c r="G146" i="10"/>
  <c r="G143" i="10" s="1"/>
  <c r="F146" i="10"/>
  <c r="F139" i="10" s="1"/>
  <c r="P145" i="10"/>
  <c r="K145" i="10"/>
  <c r="K138" i="10" s="1"/>
  <c r="J145" i="10"/>
  <c r="J138" i="10" s="1"/>
  <c r="I145" i="10"/>
  <c r="H145" i="10"/>
  <c r="H138" i="10" s="1"/>
  <c r="F145" i="10"/>
  <c r="N144" i="10"/>
  <c r="F144" i="10"/>
  <c r="E144" i="10" s="1"/>
  <c r="K142" i="10"/>
  <c r="J142" i="10"/>
  <c r="H142" i="10"/>
  <c r="G142" i="10"/>
  <c r="F142" i="10"/>
  <c r="P141" i="10"/>
  <c r="L141" i="10"/>
  <c r="K141" i="10"/>
  <c r="J141" i="10"/>
  <c r="I141" i="10"/>
  <c r="H141" i="10"/>
  <c r="G141" i="10"/>
  <c r="F141" i="10"/>
  <c r="P140" i="10"/>
  <c r="L140" i="10"/>
  <c r="K140" i="10"/>
  <c r="J140" i="10"/>
  <c r="I140" i="10"/>
  <c r="H140" i="10"/>
  <c r="G140" i="10"/>
  <c r="F140" i="10"/>
  <c r="P139" i="10"/>
  <c r="L138" i="10"/>
  <c r="G138" i="10"/>
  <c r="P137" i="10"/>
  <c r="L137" i="10"/>
  <c r="K137" i="10"/>
  <c r="J137" i="10"/>
  <c r="I137" i="10"/>
  <c r="H137" i="10"/>
  <c r="G137" i="10"/>
  <c r="I135" i="10"/>
  <c r="N135" i="10" s="1"/>
  <c r="N134" i="10"/>
  <c r="E134" i="10"/>
  <c r="N133" i="10"/>
  <c r="E133" i="10"/>
  <c r="N132" i="10"/>
  <c r="L132" i="10"/>
  <c r="N131" i="10"/>
  <c r="E131" i="10"/>
  <c r="N130" i="10"/>
  <c r="E130" i="10"/>
  <c r="P129" i="10"/>
  <c r="K129" i="10"/>
  <c r="J129" i="10"/>
  <c r="H129" i="10"/>
  <c r="G129" i="10"/>
  <c r="F129" i="10"/>
  <c r="N128" i="10"/>
  <c r="E128" i="10"/>
  <c r="N127" i="10"/>
  <c r="E127" i="10"/>
  <c r="N126" i="10"/>
  <c r="E126" i="10"/>
  <c r="N125" i="10"/>
  <c r="E125" i="10"/>
  <c r="N124" i="10"/>
  <c r="E124" i="10"/>
  <c r="N123" i="10"/>
  <c r="E123" i="10"/>
  <c r="P122" i="10"/>
  <c r="L122" i="10"/>
  <c r="K122" i="10"/>
  <c r="J122" i="10"/>
  <c r="I122" i="10"/>
  <c r="H122" i="10"/>
  <c r="G122" i="10"/>
  <c r="F122" i="10"/>
  <c r="N121" i="10"/>
  <c r="E121" i="10"/>
  <c r="N120" i="10"/>
  <c r="E120" i="10"/>
  <c r="N119" i="10"/>
  <c r="E119" i="10"/>
  <c r="N118" i="10"/>
  <c r="L118" i="10"/>
  <c r="L269" i="10" s="1"/>
  <c r="L266" i="10" s="1"/>
  <c r="H118" i="10"/>
  <c r="H269" i="10" s="1"/>
  <c r="H266" i="10" s="1"/>
  <c r="G118" i="10"/>
  <c r="G269" i="10" s="1"/>
  <c r="F118" i="10"/>
  <c r="F269" i="10" s="1"/>
  <c r="N117" i="10"/>
  <c r="E117" i="10"/>
  <c r="N116" i="10"/>
  <c r="E116" i="10"/>
  <c r="P115" i="10"/>
  <c r="K115" i="10"/>
  <c r="J115" i="10"/>
  <c r="I115" i="10"/>
  <c r="I114" i="10"/>
  <c r="I100" i="10" s="1"/>
  <c r="N113" i="10"/>
  <c r="E113" i="10"/>
  <c r="N112" i="10"/>
  <c r="E112" i="10"/>
  <c r="L111" i="10"/>
  <c r="I111" i="10"/>
  <c r="N111" i="10" s="1"/>
  <c r="N110" i="10"/>
  <c r="E110" i="10"/>
  <c r="N109" i="10"/>
  <c r="E109" i="10"/>
  <c r="R108" i="10"/>
  <c r="P108" i="10"/>
  <c r="J108" i="10"/>
  <c r="K114" i="10" s="1"/>
  <c r="H108" i="10"/>
  <c r="G108" i="10"/>
  <c r="F108" i="10"/>
  <c r="P107" i="10"/>
  <c r="N107" i="10" s="1"/>
  <c r="N106" i="10"/>
  <c r="E106" i="10"/>
  <c r="N105" i="10"/>
  <c r="E105" i="10"/>
  <c r="P104" i="10"/>
  <c r="K104" i="10"/>
  <c r="K97" i="10" s="1"/>
  <c r="J104" i="10"/>
  <c r="J101" i="10" s="1"/>
  <c r="I104" i="10"/>
  <c r="H104" i="10"/>
  <c r="G104" i="10"/>
  <c r="G101" i="10" s="1"/>
  <c r="F104" i="10"/>
  <c r="N103" i="10"/>
  <c r="E103" i="10"/>
  <c r="N102" i="10"/>
  <c r="E102" i="10"/>
  <c r="I101" i="10"/>
  <c r="J100" i="10"/>
  <c r="H100" i="10"/>
  <c r="G100" i="10"/>
  <c r="F100" i="10"/>
  <c r="P99" i="10"/>
  <c r="L99" i="10"/>
  <c r="K99" i="10"/>
  <c r="J99" i="10"/>
  <c r="I99" i="10"/>
  <c r="H99" i="10"/>
  <c r="G99" i="10"/>
  <c r="F99" i="10"/>
  <c r="P98" i="10"/>
  <c r="L98" i="10"/>
  <c r="K98" i="10"/>
  <c r="J98" i="10"/>
  <c r="I98" i="10"/>
  <c r="H98" i="10"/>
  <c r="G98" i="10"/>
  <c r="F98" i="10"/>
  <c r="P96" i="10"/>
  <c r="L96" i="10"/>
  <c r="K96" i="10"/>
  <c r="J96" i="10"/>
  <c r="I96" i="10"/>
  <c r="H96" i="10"/>
  <c r="G96" i="10"/>
  <c r="F96" i="10"/>
  <c r="P95" i="10"/>
  <c r="L95" i="10"/>
  <c r="K95" i="10"/>
  <c r="J95" i="10"/>
  <c r="I95" i="10"/>
  <c r="H95" i="10"/>
  <c r="G95" i="10"/>
  <c r="F95" i="10"/>
  <c r="I93" i="10"/>
  <c r="N92" i="10"/>
  <c r="E92" i="10"/>
  <c r="N91" i="10"/>
  <c r="E91" i="10"/>
  <c r="L90" i="10"/>
  <c r="I90" i="10"/>
  <c r="H90" i="10"/>
  <c r="H87" i="10" s="1"/>
  <c r="G90" i="10"/>
  <c r="F90" i="10"/>
  <c r="N89" i="10"/>
  <c r="E89" i="10"/>
  <c r="N88" i="10"/>
  <c r="E88" i="10"/>
  <c r="P87" i="10"/>
  <c r="J87" i="10"/>
  <c r="K93" i="10" s="1"/>
  <c r="N86" i="10"/>
  <c r="E86" i="10"/>
  <c r="N85" i="10"/>
  <c r="E85" i="10"/>
  <c r="N84" i="10"/>
  <c r="E84" i="10"/>
  <c r="N83" i="10"/>
  <c r="E83" i="10"/>
  <c r="N82" i="10"/>
  <c r="E82" i="10"/>
  <c r="N81" i="10"/>
  <c r="E81" i="10"/>
  <c r="P80" i="10"/>
  <c r="L80" i="10"/>
  <c r="K80" i="10"/>
  <c r="J80" i="10"/>
  <c r="I80" i="10"/>
  <c r="H80" i="10"/>
  <c r="G80" i="10"/>
  <c r="F80" i="10"/>
  <c r="N79" i="10"/>
  <c r="N71" i="10"/>
  <c r="E71" i="10"/>
  <c r="N70" i="10"/>
  <c r="E70" i="10"/>
  <c r="N69" i="10"/>
  <c r="E69" i="10"/>
  <c r="N68" i="10"/>
  <c r="E68" i="10"/>
  <c r="N67" i="10"/>
  <c r="E67" i="10"/>
  <c r="N66" i="10"/>
  <c r="E66" i="10"/>
  <c r="P65" i="10"/>
  <c r="L65" i="10"/>
  <c r="K65" i="10"/>
  <c r="J65" i="10"/>
  <c r="I65" i="10"/>
  <c r="H65" i="10"/>
  <c r="G65" i="10"/>
  <c r="F65" i="10"/>
  <c r="N64" i="10"/>
  <c r="E64" i="10"/>
  <c r="N63" i="10"/>
  <c r="E63" i="10"/>
  <c r="N62" i="10"/>
  <c r="E62" i="10"/>
  <c r="N61" i="10"/>
  <c r="H61" i="10"/>
  <c r="H58" i="10" s="1"/>
  <c r="G61" i="10"/>
  <c r="G58" i="10" s="1"/>
  <c r="F61" i="10"/>
  <c r="N60" i="10"/>
  <c r="F60" i="10"/>
  <c r="E60" i="10" s="1"/>
  <c r="N59" i="10"/>
  <c r="E59" i="10"/>
  <c r="P58" i="10"/>
  <c r="L58" i="10"/>
  <c r="K58" i="10"/>
  <c r="J58" i="10"/>
  <c r="I58" i="10"/>
  <c r="P57" i="10"/>
  <c r="I57" i="10"/>
  <c r="N56" i="10"/>
  <c r="E56" i="10"/>
  <c r="N55" i="10"/>
  <c r="E55" i="10"/>
  <c r="P54" i="10"/>
  <c r="I54" i="10"/>
  <c r="H54" i="10"/>
  <c r="H51" i="10" s="1"/>
  <c r="F54" i="10"/>
  <c r="F51" i="10" s="1"/>
  <c r="N53" i="10"/>
  <c r="E53" i="10"/>
  <c r="N52" i="10"/>
  <c r="E52" i="10"/>
  <c r="L51" i="10"/>
  <c r="K51" i="10"/>
  <c r="J51" i="10"/>
  <c r="G51" i="10"/>
  <c r="R50" i="10"/>
  <c r="P50" i="10"/>
  <c r="I50" i="10"/>
  <c r="E50" i="10" s="1"/>
  <c r="N49" i="10"/>
  <c r="E49" i="10"/>
  <c r="N48" i="10"/>
  <c r="E48" i="10"/>
  <c r="P47" i="10"/>
  <c r="I47" i="10"/>
  <c r="H47" i="10"/>
  <c r="N46" i="10"/>
  <c r="H46" i="10"/>
  <c r="H39" i="10" s="1"/>
  <c r="H74" i="10" s="1"/>
  <c r="G46" i="10"/>
  <c r="G44" i="10" s="1"/>
  <c r="F46" i="10"/>
  <c r="F39" i="10" s="1"/>
  <c r="N45" i="10"/>
  <c r="E45" i="10"/>
  <c r="L44" i="10"/>
  <c r="K44" i="10"/>
  <c r="J44" i="10"/>
  <c r="L43" i="10"/>
  <c r="L78" i="10" s="1"/>
  <c r="K43" i="10"/>
  <c r="K78" i="10" s="1"/>
  <c r="J43" i="10"/>
  <c r="J78" i="10" s="1"/>
  <c r="H43" i="10"/>
  <c r="H78" i="10" s="1"/>
  <c r="G43" i="10"/>
  <c r="G78" i="10" s="1"/>
  <c r="F43" i="10"/>
  <c r="P42" i="10"/>
  <c r="P77" i="10" s="1"/>
  <c r="L42" i="10"/>
  <c r="L77" i="10" s="1"/>
  <c r="K42" i="10"/>
  <c r="K77" i="10" s="1"/>
  <c r="J42" i="10"/>
  <c r="J77" i="10" s="1"/>
  <c r="I42" i="10"/>
  <c r="I77" i="10" s="1"/>
  <c r="H42" i="10"/>
  <c r="H77" i="10" s="1"/>
  <c r="G42" i="10"/>
  <c r="G77" i="10" s="1"/>
  <c r="F42" i="10"/>
  <c r="F77" i="10" s="1"/>
  <c r="P41" i="10"/>
  <c r="P76" i="10" s="1"/>
  <c r="L41" i="10"/>
  <c r="L76" i="10" s="1"/>
  <c r="K41" i="10"/>
  <c r="K76" i="10" s="1"/>
  <c r="J41" i="10"/>
  <c r="J76" i="10" s="1"/>
  <c r="I41" i="10"/>
  <c r="I76" i="10" s="1"/>
  <c r="H41" i="10"/>
  <c r="H76" i="10" s="1"/>
  <c r="G41" i="10"/>
  <c r="G76" i="10" s="1"/>
  <c r="F41" i="10"/>
  <c r="L40" i="10"/>
  <c r="L75" i="10" s="1"/>
  <c r="K40" i="10"/>
  <c r="K75" i="10" s="1"/>
  <c r="J40" i="10"/>
  <c r="J75" i="10" s="1"/>
  <c r="G40" i="10"/>
  <c r="G75" i="10" s="1"/>
  <c r="P39" i="10"/>
  <c r="P74" i="10" s="1"/>
  <c r="L39" i="10"/>
  <c r="L74" i="10" s="1"/>
  <c r="K39" i="10"/>
  <c r="K74" i="10" s="1"/>
  <c r="J39" i="10"/>
  <c r="J74" i="10" s="1"/>
  <c r="I39" i="10"/>
  <c r="I74" i="10" s="1"/>
  <c r="P38" i="10"/>
  <c r="P73" i="10" s="1"/>
  <c r="L38" i="10"/>
  <c r="L73" i="10" s="1"/>
  <c r="K38" i="10"/>
  <c r="K73" i="10" s="1"/>
  <c r="J38" i="10"/>
  <c r="J73" i="10" s="1"/>
  <c r="I38" i="10"/>
  <c r="I73" i="10" s="1"/>
  <c r="H38" i="10"/>
  <c r="H73" i="10" s="1"/>
  <c r="G38" i="10"/>
  <c r="G73" i="10" s="1"/>
  <c r="F38" i="10"/>
  <c r="F73" i="10" s="1"/>
  <c r="N36" i="10"/>
  <c r="E36" i="10"/>
  <c r="N35" i="10"/>
  <c r="E35" i="10"/>
  <c r="N34" i="10"/>
  <c r="E34" i="10"/>
  <c r="N33" i="10"/>
  <c r="E33" i="10"/>
  <c r="N32" i="10"/>
  <c r="E32" i="10"/>
  <c r="N31" i="10"/>
  <c r="E31" i="10"/>
  <c r="P30" i="10"/>
  <c r="L30" i="10"/>
  <c r="K30" i="10"/>
  <c r="J30" i="10"/>
  <c r="I30" i="10"/>
  <c r="H30" i="10"/>
  <c r="G30" i="10"/>
  <c r="F30" i="10"/>
  <c r="E29" i="10"/>
  <c r="E28" i="10"/>
  <c r="E27" i="10"/>
  <c r="E26" i="10"/>
  <c r="E25" i="10"/>
  <c r="E24" i="10"/>
  <c r="P23" i="10"/>
  <c r="L23" i="10"/>
  <c r="K23" i="10"/>
  <c r="J23" i="10"/>
  <c r="I23" i="10"/>
  <c r="H23" i="10"/>
  <c r="G23" i="10"/>
  <c r="F23" i="10"/>
  <c r="E22" i="10"/>
  <c r="E21" i="10"/>
  <c r="E20" i="10"/>
  <c r="E19" i="10"/>
  <c r="E18" i="10"/>
  <c r="E17" i="10"/>
  <c r="P16" i="10"/>
  <c r="L16" i="10"/>
  <c r="K16" i="10"/>
  <c r="J16" i="10"/>
  <c r="I16" i="10"/>
  <c r="H16" i="10"/>
  <c r="G16" i="10"/>
  <c r="F16" i="10"/>
  <c r="E15" i="10"/>
  <c r="E14" i="10"/>
  <c r="E13" i="10"/>
  <c r="E12" i="10"/>
  <c r="E11" i="10"/>
  <c r="E10" i="10"/>
  <c r="P9" i="10"/>
  <c r="L9" i="10"/>
  <c r="K9" i="10"/>
  <c r="J9" i="10"/>
  <c r="I9" i="10"/>
  <c r="H9" i="10"/>
  <c r="G9" i="10"/>
  <c r="F9" i="10"/>
  <c r="P100" i="10" l="1"/>
  <c r="G266" i="10"/>
  <c r="H168" i="10"/>
  <c r="H211" i="10" s="1"/>
  <c r="H169" i="10"/>
  <c r="H170" i="10"/>
  <c r="P101" i="10"/>
  <c r="P165" i="10"/>
  <c r="P208" i="10" s="1"/>
  <c r="F273" i="10"/>
  <c r="N193" i="10"/>
  <c r="L168" i="10"/>
  <c r="L169" i="10"/>
  <c r="L212" i="10" s="1"/>
  <c r="P273" i="10"/>
  <c r="I175" i="10"/>
  <c r="I203" i="10" s="1"/>
  <c r="H97" i="10"/>
  <c r="H94" i="10" s="1"/>
  <c r="P43" i="10"/>
  <c r="P78" i="10" s="1"/>
  <c r="J97" i="10"/>
  <c r="N122" i="10"/>
  <c r="N234" i="10"/>
  <c r="H115" i="10"/>
  <c r="I165" i="10"/>
  <c r="N165" i="10" s="1"/>
  <c r="F40" i="10"/>
  <c r="F75" i="10" s="1"/>
  <c r="L259" i="10"/>
  <c r="G165" i="10"/>
  <c r="K165" i="10"/>
  <c r="P97" i="10"/>
  <c r="N100" i="10"/>
  <c r="J175" i="10"/>
  <c r="J203" i="10" s="1"/>
  <c r="J200" i="10" s="1"/>
  <c r="L175" i="10"/>
  <c r="F175" i="10"/>
  <c r="F203" i="10" s="1"/>
  <c r="L211" i="10"/>
  <c r="L249" i="10" s="1"/>
  <c r="L312" i="10" s="1"/>
  <c r="H212" i="10"/>
  <c r="H242" i="10" s="1"/>
  <c r="H305" i="10" s="1"/>
  <c r="H213" i="10"/>
  <c r="H228" i="10" s="1"/>
  <c r="H296" i="10" s="1"/>
  <c r="N185" i="10"/>
  <c r="P40" i="10"/>
  <c r="P75" i="10" s="1"/>
  <c r="P72" i="10" s="1"/>
  <c r="E153" i="10"/>
  <c r="N182" i="10"/>
  <c r="P51" i="10"/>
  <c r="G168" i="10"/>
  <c r="G211" i="10" s="1"/>
  <c r="G169" i="10"/>
  <c r="G212" i="10" s="1"/>
  <c r="G322" i="10" s="1"/>
  <c r="G170" i="10"/>
  <c r="G213" i="10" s="1"/>
  <c r="J165" i="10"/>
  <c r="L156" i="10"/>
  <c r="E156" i="10" s="1"/>
  <c r="E189" i="10"/>
  <c r="N235" i="10"/>
  <c r="K37" i="10"/>
  <c r="N146" i="10"/>
  <c r="E65" i="10"/>
  <c r="N145" i="10"/>
  <c r="K143" i="10"/>
  <c r="K259" i="10"/>
  <c r="E263" i="10"/>
  <c r="N267" i="10"/>
  <c r="N268" i="10"/>
  <c r="I87" i="10"/>
  <c r="N87" i="10" s="1"/>
  <c r="P167" i="10"/>
  <c r="P168" i="10"/>
  <c r="P169" i="10"/>
  <c r="N140" i="10"/>
  <c r="N141" i="10"/>
  <c r="E271" i="10"/>
  <c r="E9" i="10"/>
  <c r="F44" i="10"/>
  <c r="J94" i="10"/>
  <c r="I108" i="10"/>
  <c r="G139" i="10"/>
  <c r="I178" i="10"/>
  <c r="I206" i="10" s="1"/>
  <c r="N206" i="10" s="1"/>
  <c r="G230" i="10"/>
  <c r="N57" i="10"/>
  <c r="I142" i="10"/>
  <c r="J143" i="10"/>
  <c r="L203" i="10"/>
  <c r="P266" i="10"/>
  <c r="E272" i="10"/>
  <c r="L166" i="10"/>
  <c r="L209" i="10" s="1"/>
  <c r="K101" i="10"/>
  <c r="I97" i="10"/>
  <c r="N97" i="10" s="1"/>
  <c r="H252" i="10"/>
  <c r="L273" i="10"/>
  <c r="P44" i="10"/>
  <c r="N47" i="10"/>
  <c r="F97" i="10"/>
  <c r="F94" i="10" s="1"/>
  <c r="L115" i="10"/>
  <c r="I129" i="10"/>
  <c r="N129" i="10" s="1"/>
  <c r="L135" i="10"/>
  <c r="L129" i="10" s="1"/>
  <c r="F137" i="10"/>
  <c r="F165" i="10" s="1"/>
  <c r="K139" i="10"/>
  <c r="K136" i="10" s="1"/>
  <c r="L146" i="10"/>
  <c r="L139" i="10" s="1"/>
  <c r="E173" i="10"/>
  <c r="E216" i="10"/>
  <c r="E217" i="10"/>
  <c r="E218" i="10"/>
  <c r="E219" i="10"/>
  <c r="E220" i="10"/>
  <c r="E221" i="10"/>
  <c r="E260" i="10"/>
  <c r="E270" i="10"/>
  <c r="L37" i="10"/>
  <c r="N80" i="10"/>
  <c r="G97" i="10"/>
  <c r="G94" i="10" s="1"/>
  <c r="N98" i="10"/>
  <c r="I169" i="10"/>
  <c r="N169" i="10" s="1"/>
  <c r="N108" i="10"/>
  <c r="I138" i="10"/>
  <c r="I166" i="10" s="1"/>
  <c r="I209" i="10" s="1"/>
  <c r="P143" i="10"/>
  <c r="N203" i="10"/>
  <c r="N253" i="10"/>
  <c r="N256" i="10"/>
  <c r="N271" i="10"/>
  <c r="N272" i="10"/>
  <c r="E276" i="10"/>
  <c r="L104" i="10"/>
  <c r="E104" i="10" s="1"/>
  <c r="F115" i="10"/>
  <c r="E140" i="10"/>
  <c r="N201" i="10"/>
  <c r="N202" i="10"/>
  <c r="I186" i="10"/>
  <c r="N186" i="10" s="1"/>
  <c r="J252" i="10"/>
  <c r="E267" i="10"/>
  <c r="N269" i="10"/>
  <c r="E277" i="10"/>
  <c r="J273" i="10"/>
  <c r="P252" i="10"/>
  <c r="J139" i="10"/>
  <c r="F37" i="10"/>
  <c r="P211" i="10"/>
  <c r="P241" i="10" s="1"/>
  <c r="P304" i="10" s="1"/>
  <c r="P212" i="10"/>
  <c r="P250" i="10" s="1"/>
  <c r="P313" i="10" s="1"/>
  <c r="K168" i="10"/>
  <c r="K211" i="10" s="1"/>
  <c r="K169" i="10"/>
  <c r="K212" i="10" s="1"/>
  <c r="P170" i="10"/>
  <c r="G115" i="10"/>
  <c r="N216" i="10"/>
  <c r="N217" i="10"/>
  <c r="N218" i="10"/>
  <c r="N219" i="10"/>
  <c r="N220" i="10"/>
  <c r="N221" i="10"/>
  <c r="J266" i="10"/>
  <c r="K273" i="10"/>
  <c r="H44" i="10"/>
  <c r="P94" i="10"/>
  <c r="N30" i="10"/>
  <c r="J37" i="10"/>
  <c r="I44" i="10"/>
  <c r="N54" i="10"/>
  <c r="J166" i="10"/>
  <c r="J209" i="10" s="1"/>
  <c r="P138" i="10"/>
  <c r="P166" i="10" s="1"/>
  <c r="H143" i="10"/>
  <c r="E157" i="10"/>
  <c r="E176" i="10"/>
  <c r="N277" i="10"/>
  <c r="N278" i="10"/>
  <c r="N279" i="10"/>
  <c r="K258" i="10"/>
  <c r="K252" i="10" s="1"/>
  <c r="K186" i="10"/>
  <c r="L192" i="10" s="1"/>
  <c r="N58" i="10"/>
  <c r="E145" i="10"/>
  <c r="G172" i="10"/>
  <c r="N204" i="10"/>
  <c r="N205" i="10"/>
  <c r="E30" i="10"/>
  <c r="E54" i="10"/>
  <c r="I170" i="10"/>
  <c r="E96" i="10"/>
  <c r="E98" i="10"/>
  <c r="F169" i="10"/>
  <c r="F212" i="10" s="1"/>
  <c r="F170" i="10"/>
  <c r="H101" i="10"/>
  <c r="N114" i="10"/>
  <c r="E122" i="10"/>
  <c r="J172" i="10"/>
  <c r="K175" i="10"/>
  <c r="K203" i="10" s="1"/>
  <c r="E268" i="10"/>
  <c r="I266" i="10"/>
  <c r="N266" i="10" s="1"/>
  <c r="E275" i="10"/>
  <c r="E61" i="10"/>
  <c r="E80" i="10"/>
  <c r="N93" i="10"/>
  <c r="G166" i="10"/>
  <c r="N101" i="10"/>
  <c r="N153" i="10"/>
  <c r="P172" i="10"/>
  <c r="E182" i="10"/>
  <c r="P179" i="10"/>
  <c r="N179" i="10" s="1"/>
  <c r="E232" i="10"/>
  <c r="E235" i="10"/>
  <c r="G273" i="10"/>
  <c r="E274" i="10"/>
  <c r="I40" i="10"/>
  <c r="I43" i="10"/>
  <c r="I78" i="10" s="1"/>
  <c r="N78" i="10" s="1"/>
  <c r="I51" i="10"/>
  <c r="N51" i="10" s="1"/>
  <c r="N65" i="10"/>
  <c r="E47" i="10"/>
  <c r="E57" i="10"/>
  <c r="H165" i="10"/>
  <c r="H166" i="10"/>
  <c r="H209" i="10" s="1"/>
  <c r="E111" i="10"/>
  <c r="F138" i="10"/>
  <c r="F136" i="10" s="1"/>
  <c r="I143" i="10"/>
  <c r="N143" i="10" s="1"/>
  <c r="E174" i="10"/>
  <c r="G179" i="10"/>
  <c r="K230" i="10"/>
  <c r="N231" i="10"/>
  <c r="N232" i="10"/>
  <c r="E261" i="10"/>
  <c r="I273" i="10"/>
  <c r="N274" i="10"/>
  <c r="E41" i="10"/>
  <c r="J168" i="10"/>
  <c r="J169" i="10"/>
  <c r="J212" i="10" s="1"/>
  <c r="J170" i="10"/>
  <c r="J213" i="10" s="1"/>
  <c r="J323" i="10" s="1"/>
  <c r="N104" i="10"/>
  <c r="N115" i="10"/>
  <c r="N137" i="10"/>
  <c r="H139" i="10"/>
  <c r="H136" i="10" s="1"/>
  <c r="E141" i="10"/>
  <c r="N157" i="10"/>
  <c r="J230" i="10"/>
  <c r="K266" i="10"/>
  <c r="E278" i="10"/>
  <c r="E279" i="10"/>
  <c r="G39" i="10"/>
  <c r="E39" i="10" s="1"/>
  <c r="F87" i="10"/>
  <c r="K166" i="10"/>
  <c r="K209" i="10" s="1"/>
  <c r="I139" i="10"/>
  <c r="L193" i="10"/>
  <c r="E193" i="10" s="1"/>
  <c r="E234" i="10"/>
  <c r="N260" i="10"/>
  <c r="N261" i="10"/>
  <c r="H40" i="10"/>
  <c r="E46" i="10"/>
  <c r="G87" i="10"/>
  <c r="L165" i="10"/>
  <c r="F101" i="10"/>
  <c r="I150" i="10"/>
  <c r="N150" i="10" s="1"/>
  <c r="F172" i="10"/>
  <c r="K185" i="10"/>
  <c r="L230" i="10"/>
  <c r="E264" i="10"/>
  <c r="E23" i="10"/>
  <c r="E16" i="10"/>
  <c r="F215" i="10"/>
  <c r="J208" i="10"/>
  <c r="J72" i="10"/>
  <c r="K87" i="10"/>
  <c r="L93" i="10" s="1"/>
  <c r="E93" i="10" s="1"/>
  <c r="E77" i="10"/>
  <c r="L72" i="10"/>
  <c r="E73" i="10"/>
  <c r="K72" i="10"/>
  <c r="H323" i="10"/>
  <c r="K108" i="10"/>
  <c r="L114" i="10" s="1"/>
  <c r="L108" i="10" s="1"/>
  <c r="K100" i="10"/>
  <c r="K94" i="10" s="1"/>
  <c r="N142" i="10"/>
  <c r="N73" i="10"/>
  <c r="N74" i="10"/>
  <c r="N76" i="10"/>
  <c r="P226" i="10"/>
  <c r="P294" i="10" s="1"/>
  <c r="N77" i="10"/>
  <c r="E202" i="10"/>
  <c r="E38" i="10"/>
  <c r="N38" i="10"/>
  <c r="E42" i="10"/>
  <c r="N42" i="10"/>
  <c r="N50" i="10"/>
  <c r="I262" i="10"/>
  <c r="I233" i="10"/>
  <c r="I265" i="10"/>
  <c r="I236" i="10"/>
  <c r="E236" i="10" s="1"/>
  <c r="F58" i="10"/>
  <c r="E58" i="10" s="1"/>
  <c r="F74" i="10"/>
  <c r="F76" i="10"/>
  <c r="F78" i="10"/>
  <c r="N90" i="10"/>
  <c r="E95" i="10"/>
  <c r="N95" i="10"/>
  <c r="E99" i="10"/>
  <c r="N99" i="10"/>
  <c r="F143" i="10"/>
  <c r="N149" i="10"/>
  <c r="I168" i="10"/>
  <c r="N168" i="10" s="1"/>
  <c r="H201" i="10"/>
  <c r="H200" i="10" s="1"/>
  <c r="H172" i="10"/>
  <c r="L201" i="10"/>
  <c r="E204" i="10"/>
  <c r="G201" i="10"/>
  <c r="G200" i="10" s="1"/>
  <c r="F168" i="10"/>
  <c r="N173" i="10"/>
  <c r="N175" i="10"/>
  <c r="E177" i="10"/>
  <c r="N177" i="10"/>
  <c r="K201" i="10"/>
  <c r="N39" i="10"/>
  <c r="N41" i="10"/>
  <c r="F262" i="10"/>
  <c r="F259" i="10" s="1"/>
  <c r="F233" i="10"/>
  <c r="P262" i="10"/>
  <c r="P328" i="10" s="1"/>
  <c r="P233" i="10"/>
  <c r="P265" i="10"/>
  <c r="P236" i="10"/>
  <c r="E90" i="10"/>
  <c r="N96" i="10"/>
  <c r="E118" i="10"/>
  <c r="E132" i="10"/>
  <c r="F200" i="10"/>
  <c r="P200" i="10"/>
  <c r="E205" i="10"/>
  <c r="I200" i="10"/>
  <c r="H262" i="10"/>
  <c r="H259" i="10" s="1"/>
  <c r="H233" i="10"/>
  <c r="H230" i="10" s="1"/>
  <c r="E269" i="10"/>
  <c r="F266" i="10"/>
  <c r="G136" i="10"/>
  <c r="N174" i="10"/>
  <c r="N176" i="10"/>
  <c r="L255" i="10"/>
  <c r="I255" i="10"/>
  <c r="I258" i="10"/>
  <c r="I215" i="10"/>
  <c r="N215" i="10" s="1"/>
  <c r="E231" i="10"/>
  <c r="E256" i="10"/>
  <c r="E257" i="10"/>
  <c r="G259" i="10"/>
  <c r="N270" i="10"/>
  <c r="N276" i="10"/>
  <c r="E253" i="10"/>
  <c r="E254" i="10"/>
  <c r="J328" i="10"/>
  <c r="N275" i="10"/>
  <c r="E327" i="10"/>
  <c r="J259" i="10"/>
  <c r="H321" i="10" l="1"/>
  <c r="H226" i="10"/>
  <c r="H294" i="10" s="1"/>
  <c r="E175" i="10"/>
  <c r="I208" i="10"/>
  <c r="I246" i="10" s="1"/>
  <c r="I309" i="10" s="1"/>
  <c r="H250" i="10"/>
  <c r="H313" i="10" s="1"/>
  <c r="N40" i="10"/>
  <c r="P213" i="10"/>
  <c r="P251" i="10" s="1"/>
  <c r="P314" i="10" s="1"/>
  <c r="K208" i="10"/>
  <c r="K318" i="10" s="1"/>
  <c r="L97" i="10"/>
  <c r="N273" i="10"/>
  <c r="H322" i="10"/>
  <c r="L208" i="10"/>
  <c r="L246" i="10" s="1"/>
  <c r="F166" i="10"/>
  <c r="P249" i="10"/>
  <c r="P312" i="10" s="1"/>
  <c r="H227" i="10"/>
  <c r="H295" i="10" s="1"/>
  <c r="L321" i="10"/>
  <c r="E129" i="10"/>
  <c r="L150" i="10"/>
  <c r="P322" i="10"/>
  <c r="P321" i="10"/>
  <c r="E203" i="10"/>
  <c r="J167" i="10"/>
  <c r="J210" i="10" s="1"/>
  <c r="L333" i="10"/>
  <c r="L224" i="10"/>
  <c r="L292" i="10" s="1"/>
  <c r="L242" i="10"/>
  <c r="L305" i="10" s="1"/>
  <c r="L227" i="10"/>
  <c r="L295" i="10" s="1"/>
  <c r="L250" i="10"/>
  <c r="L313" i="10" s="1"/>
  <c r="L322" i="10"/>
  <c r="H241" i="10"/>
  <c r="H304" i="10" s="1"/>
  <c r="H249" i="10"/>
  <c r="H312" i="10" s="1"/>
  <c r="F167" i="10"/>
  <c r="F210" i="10" s="1"/>
  <c r="F320" i="10" s="1"/>
  <c r="L226" i="10"/>
  <c r="L294" i="10" s="1"/>
  <c r="G242" i="10"/>
  <c r="G305" i="10" s="1"/>
  <c r="P37" i="10"/>
  <c r="I172" i="10"/>
  <c r="N172" i="10" s="1"/>
  <c r="L241" i="10"/>
  <c r="L304" i="10" s="1"/>
  <c r="G227" i="10"/>
  <c r="G295" i="10" s="1"/>
  <c r="E43" i="10"/>
  <c r="N43" i="10"/>
  <c r="E115" i="10"/>
  <c r="I213" i="10"/>
  <c r="L107" i="10"/>
  <c r="L101" i="10" s="1"/>
  <c r="G226" i="10"/>
  <c r="G294" i="10" s="1"/>
  <c r="G241" i="10"/>
  <c r="G304" i="10" s="1"/>
  <c r="G321" i="10"/>
  <c r="H251" i="10"/>
  <c r="H314" i="10" s="1"/>
  <c r="H243" i="10"/>
  <c r="H306" i="10" s="1"/>
  <c r="E135" i="10"/>
  <c r="E168" i="10"/>
  <c r="G228" i="10"/>
  <c r="G296" i="10" s="1"/>
  <c r="G243" i="10"/>
  <c r="G306" i="10" s="1"/>
  <c r="G323" i="10"/>
  <c r="G251" i="10"/>
  <c r="G314" i="10" s="1"/>
  <c r="E40" i="10"/>
  <c r="G249" i="10"/>
  <c r="G312" i="10" s="1"/>
  <c r="E44" i="10"/>
  <c r="P242" i="10"/>
  <c r="P305" i="10" s="1"/>
  <c r="P210" i="10"/>
  <c r="P320" i="10" s="1"/>
  <c r="L167" i="10"/>
  <c r="L210" i="10" s="1"/>
  <c r="L320" i="10" s="1"/>
  <c r="E101" i="10"/>
  <c r="P227" i="10"/>
  <c r="P295" i="10" s="1"/>
  <c r="G250" i="10"/>
  <c r="G313" i="10" s="1"/>
  <c r="E97" i="10"/>
  <c r="I94" i="10"/>
  <c r="N94" i="10" s="1"/>
  <c r="E138" i="10"/>
  <c r="E273" i="10"/>
  <c r="N178" i="10"/>
  <c r="E150" i="10"/>
  <c r="E146" i="10"/>
  <c r="E137" i="10"/>
  <c r="N44" i="10"/>
  <c r="J248" i="10"/>
  <c r="J311" i="10" s="1"/>
  <c r="J240" i="10"/>
  <c r="J303" i="10" s="1"/>
  <c r="J225" i="10"/>
  <c r="J293" i="10" s="1"/>
  <c r="J320" i="10"/>
  <c r="K227" i="10"/>
  <c r="K295" i="10" s="1"/>
  <c r="K322" i="10"/>
  <c r="K250" i="10"/>
  <c r="K313" i="10" s="1"/>
  <c r="K242" i="10"/>
  <c r="K305" i="10" s="1"/>
  <c r="J319" i="10"/>
  <c r="J333" i="10"/>
  <c r="J247" i="10"/>
  <c r="J310" i="10" s="1"/>
  <c r="J239" i="10"/>
  <c r="J302" i="10" s="1"/>
  <c r="J224" i="10"/>
  <c r="J292" i="10" s="1"/>
  <c r="K321" i="10"/>
  <c r="K249" i="10"/>
  <c r="K312" i="10" s="1"/>
  <c r="K241" i="10"/>
  <c r="K304" i="10" s="1"/>
  <c r="K226" i="10"/>
  <c r="K294" i="10" s="1"/>
  <c r="H333" i="10"/>
  <c r="H319" i="10"/>
  <c r="H239" i="10"/>
  <c r="H302" i="10" s="1"/>
  <c r="H247" i="10"/>
  <c r="H310" i="10" s="1"/>
  <c r="H224" i="10"/>
  <c r="H292" i="10" s="1"/>
  <c r="P209" i="10"/>
  <c r="N209" i="10" s="1"/>
  <c r="P164" i="10"/>
  <c r="E165" i="10"/>
  <c r="F208" i="10"/>
  <c r="F332" i="10" s="1"/>
  <c r="L247" i="10"/>
  <c r="L310" i="10" s="1"/>
  <c r="J136" i="10"/>
  <c r="K167" i="10"/>
  <c r="K210" i="10" s="1"/>
  <c r="K334" i="10" s="1"/>
  <c r="I212" i="10"/>
  <c r="I322" i="10" s="1"/>
  <c r="K179" i="10"/>
  <c r="L185" i="10" s="1"/>
  <c r="L179" i="10" s="1"/>
  <c r="E179" i="10" s="1"/>
  <c r="L239" i="10"/>
  <c r="L302" i="10" s="1"/>
  <c r="N166" i="10"/>
  <c r="P136" i="10"/>
  <c r="E107" i="10"/>
  <c r="K178" i="10"/>
  <c r="K172" i="10" s="1"/>
  <c r="L319" i="10"/>
  <c r="N170" i="10"/>
  <c r="J334" i="10"/>
  <c r="P230" i="10"/>
  <c r="G167" i="10"/>
  <c r="N138" i="10"/>
  <c r="E166" i="10"/>
  <c r="E169" i="10"/>
  <c r="J164" i="10"/>
  <c r="L149" i="10"/>
  <c r="J227" i="10"/>
  <c r="J295" i="10" s="1"/>
  <c r="J250" i="10"/>
  <c r="J313" i="10" s="1"/>
  <c r="J242" i="10"/>
  <c r="J305" i="10" s="1"/>
  <c r="J322" i="10"/>
  <c r="L225" i="10"/>
  <c r="L293" i="10" s="1"/>
  <c r="K333" i="10"/>
  <c r="K239" i="10"/>
  <c r="K302" i="10" s="1"/>
  <c r="K319" i="10"/>
  <c r="K247" i="10"/>
  <c r="K310" i="10" s="1"/>
  <c r="K224" i="10"/>
  <c r="K292" i="10" s="1"/>
  <c r="N139" i="10"/>
  <c r="I136" i="10"/>
  <c r="H75" i="10"/>
  <c r="H37" i="10"/>
  <c r="E139" i="10"/>
  <c r="H167" i="10"/>
  <c r="J243" i="10"/>
  <c r="J306" i="10" s="1"/>
  <c r="I75" i="10"/>
  <c r="I37" i="10"/>
  <c r="N37" i="10" s="1"/>
  <c r="J211" i="10"/>
  <c r="J207" i="10" s="1"/>
  <c r="J228" i="10"/>
  <c r="J296" i="10" s="1"/>
  <c r="I167" i="10"/>
  <c r="N265" i="10"/>
  <c r="J251" i="10"/>
  <c r="J314" i="10" s="1"/>
  <c r="E266" i="10"/>
  <c r="L100" i="10"/>
  <c r="L94" i="10" s="1"/>
  <c r="E94" i="10" s="1"/>
  <c r="E51" i="10"/>
  <c r="G74" i="10"/>
  <c r="G37" i="10"/>
  <c r="E215" i="10"/>
  <c r="F211" i="10"/>
  <c r="E76" i="10"/>
  <c r="B344" i="10"/>
  <c r="I238" i="10"/>
  <c r="K238" i="10"/>
  <c r="K301" i="10" s="1"/>
  <c r="L332" i="10"/>
  <c r="F334" i="10"/>
  <c r="L87" i="10"/>
  <c r="E87" i="10" s="1"/>
  <c r="N233" i="10"/>
  <c r="I230" i="10"/>
  <c r="P332" i="10"/>
  <c r="P318" i="10"/>
  <c r="P238" i="10"/>
  <c r="P301" i="10" s="1"/>
  <c r="P246" i="10"/>
  <c r="P309" i="10" s="1"/>
  <c r="P223" i="10"/>
  <c r="P291" i="10" s="1"/>
  <c r="P259" i="10"/>
  <c r="N258" i="10"/>
  <c r="E262" i="10"/>
  <c r="K170" i="10"/>
  <c r="G208" i="10"/>
  <c r="L258" i="10"/>
  <c r="E258" i="10" s="1"/>
  <c r="E192" i="10"/>
  <c r="E265" i="10"/>
  <c r="E233" i="10"/>
  <c r="F209" i="10"/>
  <c r="B347" i="10"/>
  <c r="I243" i="10"/>
  <c r="I323" i="10"/>
  <c r="I251" i="10"/>
  <c r="I228" i="10"/>
  <c r="I296" i="10" s="1"/>
  <c r="F72" i="10"/>
  <c r="F230" i="10"/>
  <c r="L186" i="10"/>
  <c r="E186" i="10" s="1"/>
  <c r="I259" i="10"/>
  <c r="N262" i="10"/>
  <c r="I250" i="10"/>
  <c r="N250" i="10" s="1"/>
  <c r="E114" i="10"/>
  <c r="I328" i="10"/>
  <c r="N255" i="10"/>
  <c r="E255" i="10"/>
  <c r="I252" i="10"/>
  <c r="N200" i="10"/>
  <c r="E201" i="10"/>
  <c r="F213" i="10"/>
  <c r="E78" i="10"/>
  <c r="N236" i="10"/>
  <c r="F164" i="10"/>
  <c r="P323" i="10"/>
  <c r="P228" i="10"/>
  <c r="P296" i="10" s="1"/>
  <c r="I211" i="10"/>
  <c r="B345" i="10"/>
  <c r="I333" i="10"/>
  <c r="I247" i="10"/>
  <c r="I310" i="10" s="1"/>
  <c r="I319" i="10"/>
  <c r="I239" i="10"/>
  <c r="I224" i="10"/>
  <c r="E108" i="10"/>
  <c r="H208" i="10"/>
  <c r="F322" i="10"/>
  <c r="F242" i="10"/>
  <c r="F250" i="10"/>
  <c r="F227" i="10"/>
  <c r="J332" i="10"/>
  <c r="J318" i="10"/>
  <c r="J238" i="10"/>
  <c r="J223" i="10"/>
  <c r="J246" i="10"/>
  <c r="I332" i="10" l="1"/>
  <c r="P243" i="10"/>
  <c r="P306" i="10" s="1"/>
  <c r="N259" i="10"/>
  <c r="N213" i="10"/>
  <c r="F248" i="10"/>
  <c r="L238" i="10"/>
  <c r="L301" i="10" s="1"/>
  <c r="K223" i="10"/>
  <c r="K332" i="10"/>
  <c r="I318" i="10"/>
  <c r="L223" i="10"/>
  <c r="L318" i="10"/>
  <c r="K246" i="10"/>
  <c r="K309" i="10" s="1"/>
  <c r="N208" i="10"/>
  <c r="L248" i="10"/>
  <c r="L311" i="10" s="1"/>
  <c r="N230" i="10"/>
  <c r="F240" i="10"/>
  <c r="F303" i="10" s="1"/>
  <c r="I223" i="10"/>
  <c r="I291" i="10" s="1"/>
  <c r="N212" i="10"/>
  <c r="F225" i="10"/>
  <c r="F293" i="10" s="1"/>
  <c r="L240" i="10"/>
  <c r="L303" i="10" s="1"/>
  <c r="N322" i="10"/>
  <c r="L334" i="10"/>
  <c r="E212" i="10"/>
  <c r="I227" i="10"/>
  <c r="I295" i="10" s="1"/>
  <c r="N295" i="10" s="1"/>
  <c r="I242" i="10"/>
  <c r="N242" i="10" s="1"/>
  <c r="P248" i="10"/>
  <c r="P311" i="10" s="1"/>
  <c r="F223" i="10"/>
  <c r="F291" i="10" s="1"/>
  <c r="F246" i="10"/>
  <c r="F309" i="10" s="1"/>
  <c r="N136" i="10"/>
  <c r="F238" i="10"/>
  <c r="F301" i="10" s="1"/>
  <c r="F318" i="10"/>
  <c r="P225" i="10"/>
  <c r="P293" i="10" s="1"/>
  <c r="E242" i="10"/>
  <c r="E208" i="10"/>
  <c r="K240" i="10"/>
  <c r="K303" i="10" s="1"/>
  <c r="P240" i="10"/>
  <c r="P303" i="10" s="1"/>
  <c r="P334" i="10"/>
  <c r="P207" i="10"/>
  <c r="P317" i="10" s="1"/>
  <c r="K225" i="10"/>
  <c r="K293" i="10" s="1"/>
  <c r="K248" i="10"/>
  <c r="K311" i="10" s="1"/>
  <c r="K320" i="10"/>
  <c r="L178" i="10"/>
  <c r="E178" i="10" s="1"/>
  <c r="E100" i="10"/>
  <c r="E185" i="10"/>
  <c r="G210" i="10"/>
  <c r="G164" i="10"/>
  <c r="L252" i="10"/>
  <c r="E252" i="10" s="1"/>
  <c r="L143" i="10"/>
  <c r="E143" i="10" s="1"/>
  <c r="L142" i="10"/>
  <c r="E149" i="10"/>
  <c r="F207" i="10"/>
  <c r="F317" i="10" s="1"/>
  <c r="E250" i="10"/>
  <c r="K206" i="10"/>
  <c r="K213" i="10" s="1"/>
  <c r="P224" i="10"/>
  <c r="P292" i="10" s="1"/>
  <c r="P319" i="10"/>
  <c r="N319" i="10" s="1"/>
  <c r="P333" i="10"/>
  <c r="N333" i="10" s="1"/>
  <c r="P247" i="10"/>
  <c r="P310" i="10" s="1"/>
  <c r="N310" i="10" s="1"/>
  <c r="P239" i="10"/>
  <c r="P302" i="10" s="1"/>
  <c r="J321" i="10"/>
  <c r="J241" i="10"/>
  <c r="J237" i="10" s="1"/>
  <c r="J300" i="10" s="1"/>
  <c r="J249" i="10"/>
  <c r="J312" i="10" s="1"/>
  <c r="J226" i="10"/>
  <c r="J294" i="10" s="1"/>
  <c r="N75" i="10"/>
  <c r="I72" i="10"/>
  <c r="N72" i="10" s="1"/>
  <c r="I210" i="10"/>
  <c r="I207" i="10" s="1"/>
  <c r="G209" i="10"/>
  <c r="E209" i="10" s="1"/>
  <c r="G72" i="10"/>
  <c r="H164" i="10"/>
  <c r="E167" i="10"/>
  <c r="E75" i="10"/>
  <c r="H72" i="10"/>
  <c r="H210" i="10"/>
  <c r="H207" i="10" s="1"/>
  <c r="E230" i="10"/>
  <c r="E74" i="10"/>
  <c r="E37" i="10"/>
  <c r="N167" i="10"/>
  <c r="R167" i="10"/>
  <c r="R169" i="10" s="1"/>
  <c r="R170" i="10" s="1"/>
  <c r="I164" i="10"/>
  <c r="N164" i="10" s="1"/>
  <c r="N296" i="10"/>
  <c r="I313" i="10"/>
  <c r="N313" i="10" s="1"/>
  <c r="N291" i="10"/>
  <c r="F313" i="10"/>
  <c r="I321" i="10"/>
  <c r="N321" i="10" s="1"/>
  <c r="I249" i="10"/>
  <c r="N249" i="10" s="1"/>
  <c r="I226" i="10"/>
  <c r="N226" i="10" s="1"/>
  <c r="I241" i="10"/>
  <c r="N241" i="10" s="1"/>
  <c r="N211" i="10"/>
  <c r="E328" i="10"/>
  <c r="N328" i="10"/>
  <c r="G332" i="10"/>
  <c r="G318" i="10"/>
  <c r="G246" i="10"/>
  <c r="G223" i="10"/>
  <c r="G238" i="10"/>
  <c r="N238" i="10"/>
  <c r="N332" i="10"/>
  <c r="J301" i="10"/>
  <c r="F305" i="10"/>
  <c r="E332" i="10"/>
  <c r="E318" i="10"/>
  <c r="H318" i="10"/>
  <c r="H332" i="10"/>
  <c r="H246" i="10"/>
  <c r="H238" i="10"/>
  <c r="H301" i="10" s="1"/>
  <c r="H223" i="10"/>
  <c r="F323" i="10"/>
  <c r="F251" i="10"/>
  <c r="F314" i="10" s="1"/>
  <c r="F228" i="10"/>
  <c r="F243" i="10"/>
  <c r="F306" i="10" s="1"/>
  <c r="N252" i="10"/>
  <c r="N228" i="10"/>
  <c r="N243" i="10"/>
  <c r="K164" i="10"/>
  <c r="N309" i="10"/>
  <c r="L172" i="10"/>
  <c r="E172" i="10" s="1"/>
  <c r="N251" i="10"/>
  <c r="I314" i="10"/>
  <c r="N314" i="10" s="1"/>
  <c r="F319" i="10"/>
  <c r="F333" i="10"/>
  <c r="F239" i="10"/>
  <c r="F224" i="10"/>
  <c r="F247" i="10"/>
  <c r="I334" i="10"/>
  <c r="L291" i="10"/>
  <c r="N223" i="10"/>
  <c r="N318" i="10"/>
  <c r="I301" i="10"/>
  <c r="N301" i="10" s="1"/>
  <c r="F321" i="10"/>
  <c r="F249" i="10"/>
  <c r="E211" i="10"/>
  <c r="F241" i="10"/>
  <c r="F226" i="10"/>
  <c r="J291" i="10"/>
  <c r="E322" i="10"/>
  <c r="J317" i="10"/>
  <c r="J309" i="10"/>
  <c r="F295" i="10"/>
  <c r="I292" i="10"/>
  <c r="I302" i="10"/>
  <c r="N323" i="10"/>
  <c r="I306" i="10"/>
  <c r="N306" i="10" s="1"/>
  <c r="E259" i="10"/>
  <c r="F311" i="10"/>
  <c r="L309" i="10"/>
  <c r="K291" i="10"/>
  <c r="N246" i="10"/>
  <c r="L206" i="10" l="1"/>
  <c r="L200" i="10" s="1"/>
  <c r="E227" i="10"/>
  <c r="N227" i="10"/>
  <c r="E249" i="10"/>
  <c r="E312" i="10" s="1"/>
  <c r="E313" i="10"/>
  <c r="P237" i="10"/>
  <c r="E295" i="10"/>
  <c r="E305" i="10"/>
  <c r="N302" i="10"/>
  <c r="I305" i="10"/>
  <c r="N305" i="10" s="1"/>
  <c r="N334" i="10"/>
  <c r="N292" i="10"/>
  <c r="E246" i="10"/>
  <c r="E309" i="10" s="1"/>
  <c r="P222" i="10"/>
  <c r="P290" i="10" s="1"/>
  <c r="J304" i="10"/>
  <c r="P300" i="10"/>
  <c r="G207" i="10"/>
  <c r="G317" i="10" s="1"/>
  <c r="E241" i="10"/>
  <c r="E304" i="10" s="1"/>
  <c r="E226" i="10"/>
  <c r="E294" i="10" s="1"/>
  <c r="P245" i="10"/>
  <c r="P308" i="10" s="1"/>
  <c r="E223" i="10"/>
  <c r="E291" i="10" s="1"/>
  <c r="E142" i="10"/>
  <c r="L136" i="10"/>
  <c r="E136" i="10" s="1"/>
  <c r="L170" i="10"/>
  <c r="N247" i="10"/>
  <c r="K200" i="10"/>
  <c r="E200" i="10" s="1"/>
  <c r="E72" i="10"/>
  <c r="N224" i="10"/>
  <c r="N239" i="10"/>
  <c r="F222" i="10"/>
  <c r="G320" i="10"/>
  <c r="G334" i="10"/>
  <c r="G248" i="10"/>
  <c r="G311" i="10" s="1"/>
  <c r="G225" i="10"/>
  <c r="G293" i="10" s="1"/>
  <c r="G240" i="10"/>
  <c r="G303" i="10" s="1"/>
  <c r="J222" i="10"/>
  <c r="J290" i="10" s="1"/>
  <c r="G224" i="10"/>
  <c r="G292" i="10" s="1"/>
  <c r="G333" i="10"/>
  <c r="G247" i="10"/>
  <c r="G310" i="10" s="1"/>
  <c r="G319" i="10"/>
  <c r="G239" i="10"/>
  <c r="E239" i="10" s="1"/>
  <c r="E302" i="10" s="1"/>
  <c r="B346" i="10"/>
  <c r="I248" i="10"/>
  <c r="I320" i="10"/>
  <c r="N320" i="10" s="1"/>
  <c r="I240" i="10"/>
  <c r="I225" i="10"/>
  <c r="N210" i="10"/>
  <c r="J245" i="10"/>
  <c r="J308" i="10" s="1"/>
  <c r="H248" i="10"/>
  <c r="H225" i="10"/>
  <c r="E210" i="10"/>
  <c r="H240" i="10"/>
  <c r="H320" i="10"/>
  <c r="H334" i="10"/>
  <c r="H291" i="10"/>
  <c r="I304" i="10"/>
  <c r="N304" i="10" s="1"/>
  <c r="H309" i="10"/>
  <c r="I312" i="10"/>
  <c r="N312" i="10" s="1"/>
  <c r="F304" i="10"/>
  <c r="K323" i="10"/>
  <c r="K251" i="10"/>
  <c r="K245" i="10" s="1"/>
  <c r="K243" i="10"/>
  <c r="K237" i="10" s="1"/>
  <c r="K228" i="10"/>
  <c r="K222" i="10" s="1"/>
  <c r="K207" i="10"/>
  <c r="E238" i="10"/>
  <c r="E301" i="10" s="1"/>
  <c r="F292" i="10"/>
  <c r="I317" i="10"/>
  <c r="N317" i="10" s="1"/>
  <c r="N207" i="10"/>
  <c r="I294" i="10"/>
  <c r="N294" i="10" s="1"/>
  <c r="E206" i="10"/>
  <c r="F245" i="10"/>
  <c r="F294" i="10"/>
  <c r="F310" i="10"/>
  <c r="H317" i="10"/>
  <c r="G309" i="10"/>
  <c r="E321" i="10"/>
  <c r="F312" i="10"/>
  <c r="E333" i="10"/>
  <c r="E319" i="10"/>
  <c r="F302" i="10"/>
  <c r="F296" i="10"/>
  <c r="G291" i="10"/>
  <c r="G301" i="10"/>
  <c r="F237" i="10"/>
  <c r="F290" i="10"/>
  <c r="L213" i="10" l="1"/>
  <c r="L164" i="10"/>
  <c r="E164" i="10" s="1"/>
  <c r="E170" i="10"/>
  <c r="E240" i="10"/>
  <c r="E303" i="10" s="1"/>
  <c r="E224" i="10"/>
  <c r="E292" i="10" s="1"/>
  <c r="N225" i="10"/>
  <c r="I293" i="10"/>
  <c r="N293" i="10" s="1"/>
  <c r="I222" i="10"/>
  <c r="H237" i="10"/>
  <c r="H300" i="10" s="1"/>
  <c r="N240" i="10"/>
  <c r="I237" i="10"/>
  <c r="I303" i="10"/>
  <c r="N303" i="10" s="1"/>
  <c r="G302" i="10"/>
  <c r="E247" i="10"/>
  <c r="E310" i="10" s="1"/>
  <c r="E320" i="10"/>
  <c r="G222" i="10"/>
  <c r="G290" i="10" s="1"/>
  <c r="H293" i="10"/>
  <c r="E225" i="10"/>
  <c r="E293" i="10" s="1"/>
  <c r="I311" i="10"/>
  <c r="N311" i="10" s="1"/>
  <c r="I245" i="10"/>
  <c r="R250" i="10"/>
  <c r="N248" i="10"/>
  <c r="G237" i="10"/>
  <c r="G300" i="10" s="1"/>
  <c r="H311" i="10"/>
  <c r="E248" i="10"/>
  <c r="E311" i="10" s="1"/>
  <c r="G245" i="10"/>
  <c r="G308" i="10" s="1"/>
  <c r="H222" i="10"/>
  <c r="H290" i="10" s="1"/>
  <c r="H303" i="10"/>
  <c r="H245" i="10"/>
  <c r="H308" i="10" s="1"/>
  <c r="E334" i="10"/>
  <c r="K314" i="10"/>
  <c r="K296" i="10"/>
  <c r="F308" i="10"/>
  <c r="K306" i="10"/>
  <c r="F300" i="10"/>
  <c r="K300" i="10"/>
  <c r="K308" i="10"/>
  <c r="K317" i="10"/>
  <c r="K290" i="10"/>
  <c r="L251" i="10" l="1"/>
  <c r="L228" i="10"/>
  <c r="L207" i="10"/>
  <c r="L323" i="10"/>
  <c r="E213" i="10"/>
  <c r="L243" i="10"/>
  <c r="I300" i="10"/>
  <c r="N300" i="10" s="1"/>
  <c r="N237" i="10"/>
  <c r="I290" i="10"/>
  <c r="N290" i="10" s="1"/>
  <c r="N222" i="10"/>
  <c r="N245" i="10"/>
  <c r="I308" i="10"/>
  <c r="N308" i="10" s="1"/>
  <c r="E323" i="10" l="1"/>
  <c r="E207" i="10"/>
  <c r="L317" i="10"/>
  <c r="L222" i="10"/>
  <c r="E222" i="10" s="1"/>
  <c r="E228" i="10"/>
  <c r="E296" i="10" s="1"/>
  <c r="L296" i="10"/>
  <c r="L237" i="10"/>
  <c r="E237" i="10" s="1"/>
  <c r="E243" i="10"/>
  <c r="E306" i="10" s="1"/>
  <c r="L306" i="10"/>
  <c r="L245" i="10"/>
  <c r="E245" i="10" s="1"/>
  <c r="E308" i="10" s="1"/>
  <c r="L314" i="10"/>
  <c r="E251" i="10"/>
  <c r="E314" i="10" s="1"/>
  <c r="L300" i="10" l="1"/>
  <c r="L290" i="10"/>
  <c r="L308" i="10"/>
  <c r="E317" i="10"/>
  <c r="E290" i="10"/>
  <c r="E300" i="10"/>
  <c r="D58" i="1" l="1"/>
  <c r="D50" i="1" s="1"/>
  <c r="D57" i="1"/>
  <c r="D49" i="1" s="1"/>
  <c r="D56" i="1"/>
  <c r="D48" i="1" s="1"/>
  <c r="D54" i="1"/>
  <c r="D46" i="1" s="1"/>
  <c r="D53" i="1"/>
  <c r="D45" i="1" s="1"/>
  <c r="R52" i="1"/>
  <c r="H55" i="1" l="1"/>
  <c r="H47" i="1" s="1"/>
  <c r="M52" i="1"/>
  <c r="O52" i="1"/>
  <c r="D55" i="1"/>
  <c r="D47" i="1" s="1"/>
  <c r="D52" i="1" l="1"/>
  <c r="D44" i="1" s="1"/>
  <c r="H52" i="1"/>
  <c r="H33" i="5" l="1"/>
  <c r="E327" i="9" l="1"/>
  <c r="E326" i="9"/>
  <c r="L279" i="9"/>
  <c r="K279" i="9"/>
  <c r="J279" i="9"/>
  <c r="I279" i="9"/>
  <c r="H279" i="9"/>
  <c r="G279" i="9"/>
  <c r="F279" i="9"/>
  <c r="L278" i="9"/>
  <c r="K278" i="9"/>
  <c r="J278" i="9"/>
  <c r="I278" i="9"/>
  <c r="H278" i="9"/>
  <c r="G278" i="9"/>
  <c r="F278" i="9"/>
  <c r="L277" i="9"/>
  <c r="K277" i="9"/>
  <c r="J277" i="9"/>
  <c r="I277" i="9"/>
  <c r="H277" i="9"/>
  <c r="G277" i="9"/>
  <c r="F277" i="9"/>
  <c r="L276" i="9"/>
  <c r="K276" i="9"/>
  <c r="J276" i="9"/>
  <c r="I276" i="9"/>
  <c r="H276" i="9"/>
  <c r="G276" i="9"/>
  <c r="F276" i="9"/>
  <c r="L275" i="9"/>
  <c r="K275" i="9"/>
  <c r="J275" i="9"/>
  <c r="I275" i="9"/>
  <c r="H275" i="9"/>
  <c r="G275" i="9"/>
  <c r="F275" i="9"/>
  <c r="L274" i="9"/>
  <c r="K274" i="9"/>
  <c r="J274" i="9"/>
  <c r="I274" i="9"/>
  <c r="H274" i="9"/>
  <c r="G274" i="9"/>
  <c r="F274" i="9"/>
  <c r="L272" i="9"/>
  <c r="K272" i="9"/>
  <c r="J272" i="9"/>
  <c r="I272" i="9"/>
  <c r="H272" i="9"/>
  <c r="G272" i="9"/>
  <c r="F272" i="9"/>
  <c r="L271" i="9"/>
  <c r="K271" i="9"/>
  <c r="J271" i="9"/>
  <c r="I271" i="9"/>
  <c r="H271" i="9"/>
  <c r="G271" i="9"/>
  <c r="F271" i="9"/>
  <c r="L270" i="9"/>
  <c r="K270" i="9"/>
  <c r="J270" i="9"/>
  <c r="I270" i="9"/>
  <c r="H270" i="9"/>
  <c r="G270" i="9"/>
  <c r="F270" i="9"/>
  <c r="K269" i="9"/>
  <c r="J269" i="9"/>
  <c r="I269" i="9"/>
  <c r="L268" i="9"/>
  <c r="K268" i="9"/>
  <c r="J268" i="9"/>
  <c r="I268" i="9"/>
  <c r="H268" i="9"/>
  <c r="G268" i="9"/>
  <c r="F268" i="9"/>
  <c r="L267" i="9"/>
  <c r="K267" i="9"/>
  <c r="J267" i="9"/>
  <c r="I267" i="9"/>
  <c r="H267" i="9"/>
  <c r="G267" i="9"/>
  <c r="F267" i="9"/>
  <c r="L265" i="9"/>
  <c r="K265" i="9"/>
  <c r="J265" i="9"/>
  <c r="H265" i="9"/>
  <c r="G265" i="9"/>
  <c r="F265" i="9"/>
  <c r="L264" i="9"/>
  <c r="K264" i="9"/>
  <c r="J264" i="9"/>
  <c r="I264" i="9"/>
  <c r="H264" i="9"/>
  <c r="G264" i="9"/>
  <c r="F264" i="9"/>
  <c r="L263" i="9"/>
  <c r="K263" i="9"/>
  <c r="J263" i="9"/>
  <c r="I263" i="9"/>
  <c r="H263" i="9"/>
  <c r="G263" i="9"/>
  <c r="F263" i="9"/>
  <c r="L262" i="9"/>
  <c r="K262" i="9"/>
  <c r="J262" i="9"/>
  <c r="G262" i="9"/>
  <c r="L261" i="9"/>
  <c r="K261" i="9"/>
  <c r="J261" i="9"/>
  <c r="I261" i="9"/>
  <c r="H261" i="9"/>
  <c r="G261" i="9"/>
  <c r="F261" i="9"/>
  <c r="L260" i="9"/>
  <c r="K260" i="9"/>
  <c r="J260" i="9"/>
  <c r="I260" i="9"/>
  <c r="H260" i="9"/>
  <c r="G260" i="9"/>
  <c r="F260" i="9"/>
  <c r="I258" i="9"/>
  <c r="H258" i="9"/>
  <c r="L257" i="9"/>
  <c r="K257" i="9"/>
  <c r="J257" i="9"/>
  <c r="I257" i="9"/>
  <c r="H257" i="9"/>
  <c r="L256" i="9"/>
  <c r="K256" i="9"/>
  <c r="J256" i="9"/>
  <c r="I256" i="9"/>
  <c r="H256" i="9"/>
  <c r="K255" i="9"/>
  <c r="J255" i="9"/>
  <c r="I255" i="9"/>
  <c r="H255" i="9"/>
  <c r="L254" i="9"/>
  <c r="K254" i="9"/>
  <c r="J254" i="9"/>
  <c r="I254" i="9"/>
  <c r="H254" i="9"/>
  <c r="L253" i="9"/>
  <c r="K253" i="9"/>
  <c r="J253" i="9"/>
  <c r="I253" i="9"/>
  <c r="H253" i="9"/>
  <c r="G252" i="9"/>
  <c r="F252" i="9"/>
  <c r="L236" i="9"/>
  <c r="K236" i="9"/>
  <c r="J236" i="9"/>
  <c r="H236" i="9"/>
  <c r="G236" i="9"/>
  <c r="F236" i="9"/>
  <c r="L235" i="9"/>
  <c r="K235" i="9"/>
  <c r="J235" i="9"/>
  <c r="I235" i="9"/>
  <c r="H235" i="9"/>
  <c r="G235" i="9"/>
  <c r="F235" i="9"/>
  <c r="L234" i="9"/>
  <c r="K234" i="9"/>
  <c r="J234" i="9"/>
  <c r="I234" i="9"/>
  <c r="H234" i="9"/>
  <c r="G234" i="9"/>
  <c r="F234" i="9"/>
  <c r="L233" i="9"/>
  <c r="K233" i="9"/>
  <c r="J233" i="9"/>
  <c r="G233" i="9"/>
  <c r="L232" i="9"/>
  <c r="K232" i="9"/>
  <c r="J232" i="9"/>
  <c r="I232" i="9"/>
  <c r="H232" i="9"/>
  <c r="G232" i="9"/>
  <c r="F232" i="9"/>
  <c r="L231" i="9"/>
  <c r="K231" i="9"/>
  <c r="J231" i="9"/>
  <c r="I231" i="9"/>
  <c r="H231" i="9"/>
  <c r="G231" i="9"/>
  <c r="F231" i="9"/>
  <c r="L221" i="9"/>
  <c r="K221" i="9"/>
  <c r="J221" i="9"/>
  <c r="I221" i="9"/>
  <c r="H221" i="9"/>
  <c r="G221" i="9"/>
  <c r="F221" i="9"/>
  <c r="L220" i="9"/>
  <c r="K220" i="9"/>
  <c r="J220" i="9"/>
  <c r="I220" i="9"/>
  <c r="H220" i="9"/>
  <c r="G220" i="9"/>
  <c r="F220" i="9"/>
  <c r="L219" i="9"/>
  <c r="K219" i="9"/>
  <c r="J219" i="9"/>
  <c r="I219" i="9"/>
  <c r="H219" i="9"/>
  <c r="G219" i="9"/>
  <c r="F219" i="9"/>
  <c r="L218" i="9"/>
  <c r="K218" i="9"/>
  <c r="J218" i="9"/>
  <c r="I218" i="9"/>
  <c r="H218" i="9"/>
  <c r="G218" i="9"/>
  <c r="F218" i="9"/>
  <c r="L217" i="9"/>
  <c r="K217" i="9"/>
  <c r="J217" i="9"/>
  <c r="I217" i="9"/>
  <c r="H217" i="9"/>
  <c r="G217" i="9"/>
  <c r="F217" i="9"/>
  <c r="L216" i="9"/>
  <c r="K216" i="9"/>
  <c r="J216" i="9"/>
  <c r="I216" i="9"/>
  <c r="H216" i="9"/>
  <c r="G216" i="9"/>
  <c r="F216" i="9"/>
  <c r="E199" i="9"/>
  <c r="E198" i="9"/>
  <c r="E197" i="9"/>
  <c r="L196" i="9"/>
  <c r="E196" i="9" s="1"/>
  <c r="E195" i="9"/>
  <c r="E194" i="9"/>
  <c r="K193" i="9"/>
  <c r="J193" i="9"/>
  <c r="I193" i="9"/>
  <c r="H193" i="9"/>
  <c r="G193" i="9"/>
  <c r="F193" i="9"/>
  <c r="E191" i="9"/>
  <c r="E190" i="9"/>
  <c r="L189" i="9"/>
  <c r="E189" i="9" s="1"/>
  <c r="E188" i="9"/>
  <c r="E187" i="9"/>
  <c r="I186" i="9"/>
  <c r="J192" i="9" s="1"/>
  <c r="J186" i="9" s="1"/>
  <c r="K192" i="9" s="1"/>
  <c r="H186" i="9"/>
  <c r="G186" i="9"/>
  <c r="F186" i="9"/>
  <c r="I185" i="9"/>
  <c r="I178" i="9" s="1"/>
  <c r="I206" i="9" s="1"/>
  <c r="E184" i="9"/>
  <c r="E183" i="9"/>
  <c r="K182" i="9"/>
  <c r="L182" i="9" s="1"/>
  <c r="J182" i="9"/>
  <c r="I182" i="9"/>
  <c r="H182" i="9"/>
  <c r="H179" i="9" s="1"/>
  <c r="G182" i="9"/>
  <c r="G175" i="9" s="1"/>
  <c r="F182" i="9"/>
  <c r="E181" i="9"/>
  <c r="E180" i="9"/>
  <c r="H178" i="9"/>
  <c r="H206" i="9" s="1"/>
  <c r="G178" i="9"/>
  <c r="G206" i="9" s="1"/>
  <c r="F178" i="9"/>
  <c r="F206" i="9" s="1"/>
  <c r="L177" i="9"/>
  <c r="L205" i="9" s="1"/>
  <c r="K177" i="9"/>
  <c r="K205" i="9" s="1"/>
  <c r="J177" i="9"/>
  <c r="J205" i="9" s="1"/>
  <c r="I177" i="9"/>
  <c r="I205" i="9" s="1"/>
  <c r="H177" i="9"/>
  <c r="H205" i="9" s="1"/>
  <c r="G177" i="9"/>
  <c r="G205" i="9" s="1"/>
  <c r="F177" i="9"/>
  <c r="F205" i="9" s="1"/>
  <c r="L176" i="9"/>
  <c r="L204" i="9" s="1"/>
  <c r="K176" i="9"/>
  <c r="K204" i="9" s="1"/>
  <c r="J176" i="9"/>
  <c r="J204" i="9" s="1"/>
  <c r="I176" i="9"/>
  <c r="I204" i="9" s="1"/>
  <c r="H176" i="9"/>
  <c r="H204" i="9" s="1"/>
  <c r="G176" i="9"/>
  <c r="F176" i="9"/>
  <c r="F204" i="9" s="1"/>
  <c r="L174" i="9"/>
  <c r="L202" i="9" s="1"/>
  <c r="K174" i="9"/>
  <c r="K202" i="9" s="1"/>
  <c r="J174" i="9"/>
  <c r="J202" i="9" s="1"/>
  <c r="I174" i="9"/>
  <c r="I202" i="9" s="1"/>
  <c r="H174" i="9"/>
  <c r="H202" i="9" s="1"/>
  <c r="G174" i="9"/>
  <c r="F174" i="9"/>
  <c r="F202" i="9" s="1"/>
  <c r="L173" i="9"/>
  <c r="L201" i="9" s="1"/>
  <c r="K173" i="9"/>
  <c r="K201" i="9" s="1"/>
  <c r="J173" i="9"/>
  <c r="J201" i="9" s="1"/>
  <c r="I173" i="9"/>
  <c r="I201" i="9" s="1"/>
  <c r="H173" i="9"/>
  <c r="H201" i="9" s="1"/>
  <c r="G173" i="9"/>
  <c r="G201" i="9" s="1"/>
  <c r="F173" i="9"/>
  <c r="F201" i="9" s="1"/>
  <c r="E163" i="9"/>
  <c r="E162" i="9"/>
  <c r="E161" i="9"/>
  <c r="E160" i="9"/>
  <c r="E159" i="9"/>
  <c r="E158" i="9"/>
  <c r="L157" i="9"/>
  <c r="K157" i="9"/>
  <c r="J157" i="9"/>
  <c r="I157" i="9"/>
  <c r="H157" i="9"/>
  <c r="G157" i="9"/>
  <c r="F157" i="9"/>
  <c r="E155" i="9"/>
  <c r="E154" i="9"/>
  <c r="L153" i="9"/>
  <c r="E153" i="9" s="1"/>
  <c r="E152" i="9"/>
  <c r="E151" i="9"/>
  <c r="I150" i="9"/>
  <c r="J156" i="9" s="1"/>
  <c r="J150" i="9" s="1"/>
  <c r="K156" i="9" s="1"/>
  <c r="K150" i="9" s="1"/>
  <c r="H150" i="9"/>
  <c r="G150" i="9"/>
  <c r="F150" i="9"/>
  <c r="I149" i="9"/>
  <c r="E148" i="9"/>
  <c r="E147" i="9"/>
  <c r="K146" i="9"/>
  <c r="L146" i="9" s="1"/>
  <c r="J146" i="9"/>
  <c r="J139" i="9" s="1"/>
  <c r="I146" i="9"/>
  <c r="I139" i="9" s="1"/>
  <c r="H146" i="9"/>
  <c r="G146" i="9"/>
  <c r="G139" i="9" s="1"/>
  <c r="F146" i="9"/>
  <c r="K145" i="9"/>
  <c r="K138" i="9" s="1"/>
  <c r="J145" i="9"/>
  <c r="I145" i="9"/>
  <c r="H145" i="9"/>
  <c r="F145" i="9"/>
  <c r="F138" i="9" s="1"/>
  <c r="F144" i="9"/>
  <c r="E144" i="9" s="1"/>
  <c r="G143" i="9"/>
  <c r="I142" i="9"/>
  <c r="H142" i="9"/>
  <c r="G142" i="9"/>
  <c r="F142" i="9"/>
  <c r="L141" i="9"/>
  <c r="K141" i="9"/>
  <c r="J141" i="9"/>
  <c r="I141" i="9"/>
  <c r="H141" i="9"/>
  <c r="G141" i="9"/>
  <c r="F141" i="9"/>
  <c r="L140" i="9"/>
  <c r="K140" i="9"/>
  <c r="J140" i="9"/>
  <c r="I140" i="9"/>
  <c r="H140" i="9"/>
  <c r="G140" i="9"/>
  <c r="F140" i="9"/>
  <c r="F139" i="9"/>
  <c r="L138" i="9"/>
  <c r="H138" i="9"/>
  <c r="G138" i="9"/>
  <c r="L137" i="9"/>
  <c r="K137" i="9"/>
  <c r="J137" i="9"/>
  <c r="I137" i="9"/>
  <c r="H137" i="9"/>
  <c r="G137" i="9"/>
  <c r="E134" i="9"/>
  <c r="E133" i="9"/>
  <c r="L132" i="9"/>
  <c r="E132" i="9" s="1"/>
  <c r="E131" i="9"/>
  <c r="E130" i="9"/>
  <c r="K129" i="9"/>
  <c r="J129" i="9"/>
  <c r="I129" i="9"/>
  <c r="H129" i="9"/>
  <c r="G129" i="9"/>
  <c r="F129" i="9"/>
  <c r="E128" i="9"/>
  <c r="E127" i="9"/>
  <c r="E126" i="9"/>
  <c r="E125" i="9"/>
  <c r="E124" i="9"/>
  <c r="E123" i="9"/>
  <c r="L122" i="9"/>
  <c r="K122" i="9"/>
  <c r="J122" i="9"/>
  <c r="I122" i="9"/>
  <c r="H122" i="9"/>
  <c r="G122" i="9"/>
  <c r="F122" i="9"/>
  <c r="E121" i="9"/>
  <c r="E120" i="9"/>
  <c r="E119" i="9"/>
  <c r="L118" i="9"/>
  <c r="L269" i="9" s="1"/>
  <c r="H118" i="9"/>
  <c r="H269" i="9" s="1"/>
  <c r="G118" i="9"/>
  <c r="G269" i="9" s="1"/>
  <c r="F118" i="9"/>
  <c r="F269" i="9" s="1"/>
  <c r="E117" i="9"/>
  <c r="E116" i="9"/>
  <c r="K115" i="9"/>
  <c r="J115" i="9"/>
  <c r="I115" i="9"/>
  <c r="E113" i="9"/>
  <c r="E112" i="9"/>
  <c r="L111" i="9"/>
  <c r="E111" i="9" s="1"/>
  <c r="E110" i="9"/>
  <c r="E109" i="9"/>
  <c r="I108" i="9"/>
  <c r="J114" i="9" s="1"/>
  <c r="H108" i="9"/>
  <c r="G108" i="9"/>
  <c r="F108" i="9"/>
  <c r="I107" i="9"/>
  <c r="E106" i="9"/>
  <c r="E105" i="9"/>
  <c r="K104" i="9"/>
  <c r="L104" i="9" s="1"/>
  <c r="J104" i="9"/>
  <c r="J97" i="9" s="1"/>
  <c r="I104" i="9"/>
  <c r="I97" i="9" s="1"/>
  <c r="H104" i="9"/>
  <c r="G104" i="9"/>
  <c r="G101" i="9" s="1"/>
  <c r="F104" i="9"/>
  <c r="F101" i="9" s="1"/>
  <c r="E103" i="9"/>
  <c r="E102" i="9"/>
  <c r="H100" i="9"/>
  <c r="G100" i="9"/>
  <c r="F100" i="9"/>
  <c r="L99" i="9"/>
  <c r="K99" i="9"/>
  <c r="J99" i="9"/>
  <c r="I99" i="9"/>
  <c r="H99" i="9"/>
  <c r="H169" i="9" s="1"/>
  <c r="G99" i="9"/>
  <c r="F99" i="9"/>
  <c r="L98" i="9"/>
  <c r="K98" i="9"/>
  <c r="J98" i="9"/>
  <c r="I98" i="9"/>
  <c r="H98" i="9"/>
  <c r="G98" i="9"/>
  <c r="G168" i="9" s="1"/>
  <c r="F98" i="9"/>
  <c r="L96" i="9"/>
  <c r="K96" i="9"/>
  <c r="J96" i="9"/>
  <c r="I96" i="9"/>
  <c r="H96" i="9"/>
  <c r="G96" i="9"/>
  <c r="F96" i="9"/>
  <c r="L95" i="9"/>
  <c r="K95" i="9"/>
  <c r="K165" i="9" s="1"/>
  <c r="J95" i="9"/>
  <c r="J165" i="9" s="1"/>
  <c r="I95" i="9"/>
  <c r="H95" i="9"/>
  <c r="G95" i="9"/>
  <c r="F95" i="9"/>
  <c r="E92" i="9"/>
  <c r="E91" i="9"/>
  <c r="L90" i="9"/>
  <c r="H90" i="9"/>
  <c r="G90" i="9"/>
  <c r="G87" i="9" s="1"/>
  <c r="F90" i="9"/>
  <c r="F87" i="9" s="1"/>
  <c r="E89" i="9"/>
  <c r="E88" i="9"/>
  <c r="I87" i="9"/>
  <c r="J93" i="9" s="1"/>
  <c r="J87" i="9" s="1"/>
  <c r="K93" i="9" s="1"/>
  <c r="E86" i="9"/>
  <c r="E85" i="9"/>
  <c r="E84" i="9"/>
  <c r="E83" i="9"/>
  <c r="E82" i="9"/>
  <c r="E81" i="9"/>
  <c r="L80" i="9"/>
  <c r="K80" i="9"/>
  <c r="J80" i="9"/>
  <c r="I80" i="9"/>
  <c r="H80" i="9"/>
  <c r="G80" i="9"/>
  <c r="F80" i="9"/>
  <c r="E71" i="9"/>
  <c r="E70" i="9"/>
  <c r="E69" i="9"/>
  <c r="E68" i="9"/>
  <c r="E67" i="9"/>
  <c r="E66" i="9"/>
  <c r="L65" i="9"/>
  <c r="K65" i="9"/>
  <c r="J65" i="9"/>
  <c r="I65" i="9"/>
  <c r="H65" i="9"/>
  <c r="G65" i="9"/>
  <c r="F65" i="9"/>
  <c r="E64" i="9"/>
  <c r="E63" i="9"/>
  <c r="E62" i="9"/>
  <c r="H61" i="9"/>
  <c r="G61" i="9"/>
  <c r="G58" i="9" s="1"/>
  <c r="F61" i="9"/>
  <c r="F60" i="9"/>
  <c r="E60" i="9" s="1"/>
  <c r="E59" i="9"/>
  <c r="L58" i="9"/>
  <c r="K58" i="9"/>
  <c r="J58" i="9"/>
  <c r="I58" i="9"/>
  <c r="I57" i="9"/>
  <c r="E56" i="9"/>
  <c r="E55" i="9"/>
  <c r="I54" i="9"/>
  <c r="H54" i="9"/>
  <c r="H51" i="9" s="1"/>
  <c r="F54" i="9"/>
  <c r="F51" i="9" s="1"/>
  <c r="E53" i="9"/>
  <c r="E52" i="9"/>
  <c r="L51" i="9"/>
  <c r="K51" i="9"/>
  <c r="J51" i="9"/>
  <c r="G51" i="9"/>
  <c r="I50" i="9"/>
  <c r="E50" i="9" s="1"/>
  <c r="E49" i="9"/>
  <c r="E48" i="9"/>
  <c r="I47" i="9"/>
  <c r="H47" i="9"/>
  <c r="E47" i="9" s="1"/>
  <c r="H46" i="9"/>
  <c r="H39" i="9" s="1"/>
  <c r="H74" i="9" s="1"/>
  <c r="G46" i="9"/>
  <c r="F46" i="9"/>
  <c r="F44" i="9" s="1"/>
  <c r="E45" i="9"/>
  <c r="L44" i="9"/>
  <c r="K44" i="9"/>
  <c r="J44" i="9"/>
  <c r="L43" i="9"/>
  <c r="L78" i="9" s="1"/>
  <c r="K43" i="9"/>
  <c r="K78" i="9" s="1"/>
  <c r="J43" i="9"/>
  <c r="J78" i="9" s="1"/>
  <c r="H43" i="9"/>
  <c r="H78" i="9" s="1"/>
  <c r="G43" i="9"/>
  <c r="G78" i="9" s="1"/>
  <c r="F43" i="9"/>
  <c r="F78" i="9" s="1"/>
  <c r="L42" i="9"/>
  <c r="L77" i="9" s="1"/>
  <c r="K42" i="9"/>
  <c r="K77" i="9" s="1"/>
  <c r="J42" i="9"/>
  <c r="J77" i="9" s="1"/>
  <c r="I42" i="9"/>
  <c r="I77" i="9" s="1"/>
  <c r="H42" i="9"/>
  <c r="H77" i="9" s="1"/>
  <c r="G42" i="9"/>
  <c r="G77" i="9" s="1"/>
  <c r="F42" i="9"/>
  <c r="F77" i="9" s="1"/>
  <c r="L41" i="9"/>
  <c r="L76" i="9" s="1"/>
  <c r="K41" i="9"/>
  <c r="K76" i="9" s="1"/>
  <c r="J41" i="9"/>
  <c r="J76" i="9" s="1"/>
  <c r="I41" i="9"/>
  <c r="I76" i="9" s="1"/>
  <c r="H41" i="9"/>
  <c r="H76" i="9" s="1"/>
  <c r="G41" i="9"/>
  <c r="G76" i="9" s="1"/>
  <c r="F41" i="9"/>
  <c r="F76" i="9" s="1"/>
  <c r="L40" i="9"/>
  <c r="L75" i="9" s="1"/>
  <c r="K40" i="9"/>
  <c r="K75" i="9" s="1"/>
  <c r="J40" i="9"/>
  <c r="J75" i="9" s="1"/>
  <c r="G40" i="9"/>
  <c r="L39" i="9"/>
  <c r="L74" i="9" s="1"/>
  <c r="K39" i="9"/>
  <c r="K74" i="9" s="1"/>
  <c r="J39" i="9"/>
  <c r="J74" i="9" s="1"/>
  <c r="I39" i="9"/>
  <c r="I74" i="9" s="1"/>
  <c r="L38" i="9"/>
  <c r="L73" i="9" s="1"/>
  <c r="K38" i="9"/>
  <c r="K73" i="9" s="1"/>
  <c r="J38" i="9"/>
  <c r="J73" i="9" s="1"/>
  <c r="I38" i="9"/>
  <c r="I73" i="9" s="1"/>
  <c r="H38" i="9"/>
  <c r="H73" i="9" s="1"/>
  <c r="G38" i="9"/>
  <c r="G73" i="9" s="1"/>
  <c r="F38" i="9"/>
  <c r="F73" i="9" s="1"/>
  <c r="E36" i="9"/>
  <c r="E35" i="9"/>
  <c r="E34" i="9"/>
  <c r="E33" i="9"/>
  <c r="E32" i="9"/>
  <c r="E31" i="9"/>
  <c r="L30" i="9"/>
  <c r="K30" i="9"/>
  <c r="J30" i="9"/>
  <c r="I30" i="9"/>
  <c r="H30" i="9"/>
  <c r="G30" i="9"/>
  <c r="F30" i="9"/>
  <c r="E29" i="9"/>
  <c r="E28" i="9"/>
  <c r="E27" i="9"/>
  <c r="E26" i="9"/>
  <c r="E25" i="9"/>
  <c r="E24" i="9"/>
  <c r="L23" i="9"/>
  <c r="K23" i="9"/>
  <c r="J23" i="9"/>
  <c r="I23" i="9"/>
  <c r="H23" i="9"/>
  <c r="G23" i="9"/>
  <c r="F23" i="9"/>
  <c r="E22" i="9"/>
  <c r="E21" i="9"/>
  <c r="E20" i="9"/>
  <c r="E19" i="9"/>
  <c r="E18" i="9"/>
  <c r="E17" i="9"/>
  <c r="L16" i="9"/>
  <c r="K16" i="9"/>
  <c r="J16" i="9"/>
  <c r="I16" i="9"/>
  <c r="H16" i="9"/>
  <c r="G16" i="9"/>
  <c r="F16" i="9"/>
  <c r="E15" i="9"/>
  <c r="E14" i="9"/>
  <c r="E13" i="9"/>
  <c r="E12" i="9"/>
  <c r="E11" i="9"/>
  <c r="E10" i="9"/>
  <c r="L9" i="9"/>
  <c r="K9" i="9"/>
  <c r="J9" i="9"/>
  <c r="I9" i="9"/>
  <c r="H9" i="9"/>
  <c r="G9" i="9"/>
  <c r="F9" i="9"/>
  <c r="D16" i="5"/>
  <c r="I165" i="9" l="1"/>
  <c r="H165" i="9"/>
  <c r="G166" i="9"/>
  <c r="H175" i="9"/>
  <c r="H203" i="9" s="1"/>
  <c r="H200" i="9" s="1"/>
  <c r="H166" i="9"/>
  <c r="K168" i="9"/>
  <c r="L169" i="9"/>
  <c r="L212" i="9" s="1"/>
  <c r="G75" i="9"/>
  <c r="G165" i="9"/>
  <c r="G208" i="9" s="1"/>
  <c r="E232" i="9"/>
  <c r="F137" i="9"/>
  <c r="F165" i="9" s="1"/>
  <c r="F208" i="9" s="1"/>
  <c r="G170" i="9"/>
  <c r="G213" i="9" s="1"/>
  <c r="E80" i="9"/>
  <c r="L193" i="9"/>
  <c r="E193" i="9" s="1"/>
  <c r="L156" i="9"/>
  <c r="L150" i="9" s="1"/>
  <c r="E269" i="9"/>
  <c r="E231" i="9"/>
  <c r="I179" i="9"/>
  <c r="J185" i="9" s="1"/>
  <c r="J178" i="9" s="1"/>
  <c r="I168" i="9"/>
  <c r="I211" i="9" s="1"/>
  <c r="L259" i="9"/>
  <c r="J168" i="9"/>
  <c r="K169" i="9"/>
  <c r="K212" i="9" s="1"/>
  <c r="L135" i="9"/>
  <c r="L129" i="9" s="1"/>
  <c r="E129" i="9" s="1"/>
  <c r="F215" i="9"/>
  <c r="E235" i="9"/>
  <c r="K230" i="9"/>
  <c r="J169" i="9"/>
  <c r="J212" i="9" s="1"/>
  <c r="E46" i="9"/>
  <c r="F115" i="9"/>
  <c r="G215" i="9"/>
  <c r="E234" i="9"/>
  <c r="L230" i="9"/>
  <c r="L166" i="9"/>
  <c r="L209" i="9" s="1"/>
  <c r="E145" i="9"/>
  <c r="H215" i="9"/>
  <c r="I215" i="9"/>
  <c r="G230" i="9"/>
  <c r="E256" i="9"/>
  <c r="E261" i="9"/>
  <c r="F40" i="9"/>
  <c r="F75" i="9" s="1"/>
  <c r="J167" i="9"/>
  <c r="K273" i="9"/>
  <c r="J215" i="9"/>
  <c r="E23" i="9"/>
  <c r="E61" i="9"/>
  <c r="F143" i="9"/>
  <c r="G44" i="9"/>
  <c r="E122" i="9"/>
  <c r="E260" i="9"/>
  <c r="J37" i="9"/>
  <c r="G39" i="9"/>
  <c r="G74" i="9" s="1"/>
  <c r="E65" i="9"/>
  <c r="L273" i="9"/>
  <c r="E276" i="9"/>
  <c r="G273" i="9"/>
  <c r="H209" i="9"/>
  <c r="H333" i="9" s="1"/>
  <c r="H44" i="9"/>
  <c r="G136" i="9"/>
  <c r="E176" i="9"/>
  <c r="K215" i="9"/>
  <c r="E219" i="9"/>
  <c r="E254" i="9"/>
  <c r="I44" i="9"/>
  <c r="G115" i="9"/>
  <c r="L215" i="9"/>
  <c r="H252" i="9"/>
  <c r="L165" i="9"/>
  <c r="L208" i="9" s="1"/>
  <c r="H143" i="9"/>
  <c r="E150" i="9"/>
  <c r="F168" i="9"/>
  <c r="F211" i="9" s="1"/>
  <c r="G169" i="9"/>
  <c r="G212" i="9" s="1"/>
  <c r="G322" i="9" s="1"/>
  <c r="H170" i="9"/>
  <c r="H213" i="9" s="1"/>
  <c r="H323" i="9" s="1"/>
  <c r="E268" i="9"/>
  <c r="H273" i="9"/>
  <c r="J273" i="9"/>
  <c r="K139" i="9"/>
  <c r="E267" i="9"/>
  <c r="I273" i="9"/>
  <c r="H9" i="5"/>
  <c r="E9" i="5" s="1"/>
  <c r="E16" i="5"/>
  <c r="L72" i="9"/>
  <c r="I167" i="9"/>
  <c r="K166" i="9"/>
  <c r="K209" i="9" s="1"/>
  <c r="E16" i="9"/>
  <c r="K37" i="9"/>
  <c r="H58" i="9"/>
  <c r="G266" i="9"/>
  <c r="E141" i="9"/>
  <c r="E157" i="9"/>
  <c r="I175" i="9"/>
  <c r="I172" i="9" s="1"/>
  <c r="G204" i="9"/>
  <c r="G211" i="9" s="1"/>
  <c r="E218" i="9"/>
  <c r="J230" i="9"/>
  <c r="K266" i="9"/>
  <c r="E275" i="9"/>
  <c r="E279" i="9"/>
  <c r="E9" i="9"/>
  <c r="L37" i="9"/>
  <c r="F39" i="9"/>
  <c r="F74" i="9" s="1"/>
  <c r="J211" i="9"/>
  <c r="J241" i="9" s="1"/>
  <c r="J304" i="9" s="1"/>
  <c r="I43" i="9"/>
  <c r="I78" i="9" s="1"/>
  <c r="E78" i="9" s="1"/>
  <c r="F58" i="9"/>
  <c r="F97" i="9"/>
  <c r="F94" i="9" s="1"/>
  <c r="H266" i="9"/>
  <c r="H139" i="9"/>
  <c r="H136" i="9" s="1"/>
  <c r="E140" i="9"/>
  <c r="E174" i="9"/>
  <c r="E177" i="9"/>
  <c r="L175" i="9"/>
  <c r="L203" i="9" s="1"/>
  <c r="E217" i="9"/>
  <c r="E221" i="9"/>
  <c r="E257" i="9"/>
  <c r="J259" i="9"/>
  <c r="E272" i="9"/>
  <c r="E30" i="9"/>
  <c r="K211" i="9"/>
  <c r="K249" i="9" s="1"/>
  <c r="K312" i="9" s="1"/>
  <c r="H212" i="9"/>
  <c r="H242" i="9" s="1"/>
  <c r="H305" i="9" s="1"/>
  <c r="F166" i="9"/>
  <c r="H168" i="9"/>
  <c r="H211" i="9" s="1"/>
  <c r="L168" i="9"/>
  <c r="L211" i="9" s="1"/>
  <c r="I169" i="9"/>
  <c r="I212" i="9" s="1"/>
  <c r="E118" i="9"/>
  <c r="L266" i="9"/>
  <c r="I143" i="9"/>
  <c r="J149" i="9" s="1"/>
  <c r="J142" i="9" s="1"/>
  <c r="E216" i="9"/>
  <c r="E220" i="9"/>
  <c r="E271" i="9"/>
  <c r="I208" i="9"/>
  <c r="H208" i="9"/>
  <c r="I262" i="9"/>
  <c r="I328" i="9" s="1"/>
  <c r="E328" i="9" s="1"/>
  <c r="I233" i="9"/>
  <c r="I265" i="9"/>
  <c r="I259" i="9" s="1"/>
  <c r="I236" i="9"/>
  <c r="E236" i="9" s="1"/>
  <c r="H101" i="9"/>
  <c r="H97" i="9"/>
  <c r="H94" i="9" s="1"/>
  <c r="L97" i="9"/>
  <c r="J108" i="9"/>
  <c r="E146" i="9"/>
  <c r="G203" i="9"/>
  <c r="G172" i="9"/>
  <c r="E54" i="9"/>
  <c r="E73" i="9"/>
  <c r="E76" i="9"/>
  <c r="E77" i="9"/>
  <c r="H87" i="9"/>
  <c r="L139" i="9"/>
  <c r="E201" i="9"/>
  <c r="H40" i="9"/>
  <c r="F262" i="9"/>
  <c r="F259" i="9" s="1"/>
  <c r="F233" i="9"/>
  <c r="E90" i="9"/>
  <c r="F170" i="9"/>
  <c r="F213" i="9" s="1"/>
  <c r="E104" i="9"/>
  <c r="E205" i="9"/>
  <c r="J208" i="9"/>
  <c r="J72" i="9"/>
  <c r="J226" i="9"/>
  <c r="J294" i="9" s="1"/>
  <c r="K72" i="9"/>
  <c r="K208" i="9"/>
  <c r="E38" i="9"/>
  <c r="I40" i="9"/>
  <c r="E41" i="9"/>
  <c r="E42" i="9"/>
  <c r="I51" i="9"/>
  <c r="E51" i="9" s="1"/>
  <c r="H262" i="9"/>
  <c r="H259" i="9" s="1"/>
  <c r="H233" i="9"/>
  <c r="H230" i="9" s="1"/>
  <c r="E57" i="9"/>
  <c r="K87" i="9"/>
  <c r="L93" i="9" s="1"/>
  <c r="E95" i="9"/>
  <c r="E96" i="9"/>
  <c r="E98" i="9"/>
  <c r="F169" i="9"/>
  <c r="E99" i="9"/>
  <c r="I101" i="9"/>
  <c r="J107" i="9" s="1"/>
  <c r="I100" i="9"/>
  <c r="J138" i="9"/>
  <c r="G179" i="9"/>
  <c r="F179" i="9"/>
  <c r="F175" i="9"/>
  <c r="J175" i="9"/>
  <c r="I203" i="9"/>
  <c r="I200" i="9" s="1"/>
  <c r="G259" i="9"/>
  <c r="E263" i="9"/>
  <c r="F266" i="9"/>
  <c r="J266" i="9"/>
  <c r="F273" i="9"/>
  <c r="E277" i="9"/>
  <c r="G202" i="9"/>
  <c r="I252" i="9"/>
  <c r="E253" i="9"/>
  <c r="K258" i="9"/>
  <c r="K252" i="9" s="1"/>
  <c r="G97" i="9"/>
  <c r="G94" i="9" s="1"/>
  <c r="K97" i="9"/>
  <c r="H115" i="9"/>
  <c r="L115" i="9"/>
  <c r="E173" i="9"/>
  <c r="K175" i="9"/>
  <c r="K186" i="9"/>
  <c r="L192" i="9" s="1"/>
  <c r="E192" i="9" s="1"/>
  <c r="K259" i="9"/>
  <c r="E265" i="9"/>
  <c r="I138" i="9"/>
  <c r="I136" i="9" s="1"/>
  <c r="E182" i="9"/>
  <c r="L255" i="9"/>
  <c r="E255" i="9" s="1"/>
  <c r="J258" i="9"/>
  <c r="E264" i="9"/>
  <c r="I266" i="9"/>
  <c r="E270" i="9"/>
  <c r="E274" i="9"/>
  <c r="E278" i="9"/>
  <c r="H172" i="9" l="1"/>
  <c r="E135" i="9"/>
  <c r="E74" i="9"/>
  <c r="F136" i="9"/>
  <c r="E137" i="9"/>
  <c r="J179" i="9"/>
  <c r="K185" i="9" s="1"/>
  <c r="K178" i="9" s="1"/>
  <c r="K206" i="9" s="1"/>
  <c r="G37" i="9"/>
  <c r="K321" i="9"/>
  <c r="H224" i="9"/>
  <c r="H292" i="9" s="1"/>
  <c r="L242" i="9"/>
  <c r="L305" i="9" s="1"/>
  <c r="L227" i="9"/>
  <c r="L295" i="9" s="1"/>
  <c r="L322" i="9"/>
  <c r="L250" i="9"/>
  <c r="L313" i="9" s="1"/>
  <c r="E39" i="9"/>
  <c r="K226" i="9"/>
  <c r="K294" i="9" s="1"/>
  <c r="E204" i="9"/>
  <c r="G72" i="9"/>
  <c r="J249" i="9"/>
  <c r="J312" i="9" s="1"/>
  <c r="E156" i="9"/>
  <c r="G321" i="9"/>
  <c r="G249" i="9"/>
  <c r="G312" i="9" s="1"/>
  <c r="G226" i="9"/>
  <c r="G294" i="9" s="1"/>
  <c r="G243" i="9"/>
  <c r="G306" i="9" s="1"/>
  <c r="G251" i="9"/>
  <c r="G314" i="9" s="1"/>
  <c r="G228" i="9"/>
  <c r="G296" i="9" s="1"/>
  <c r="G323" i="9"/>
  <c r="J143" i="9"/>
  <c r="K149" i="9" s="1"/>
  <c r="E44" i="9"/>
  <c r="F72" i="9"/>
  <c r="I321" i="9"/>
  <c r="I226" i="9"/>
  <c r="I294" i="9" s="1"/>
  <c r="J242" i="9"/>
  <c r="J305" i="9" s="1"/>
  <c r="J250" i="9"/>
  <c r="J313" i="9" s="1"/>
  <c r="J227" i="9"/>
  <c r="J295" i="9" s="1"/>
  <c r="J322" i="9"/>
  <c r="F167" i="9"/>
  <c r="F164" i="9" s="1"/>
  <c r="H250" i="9"/>
  <c r="H313" i="9" s="1"/>
  <c r="E215" i="9"/>
  <c r="E139" i="9"/>
  <c r="L247" i="9"/>
  <c r="L310" i="9" s="1"/>
  <c r="L239" i="9"/>
  <c r="L302" i="9" s="1"/>
  <c r="L224" i="9"/>
  <c r="L292" i="9" s="1"/>
  <c r="L319" i="9"/>
  <c r="L333" i="9"/>
  <c r="F321" i="9"/>
  <c r="F249" i="9"/>
  <c r="F241" i="9"/>
  <c r="F304" i="9" s="1"/>
  <c r="F226" i="9"/>
  <c r="F294" i="9" s="1"/>
  <c r="K250" i="9"/>
  <c r="K313" i="9" s="1"/>
  <c r="K322" i="9"/>
  <c r="K227" i="9"/>
  <c r="K295" i="9" s="1"/>
  <c r="K242" i="9"/>
  <c r="K305" i="9" s="1"/>
  <c r="G200" i="9"/>
  <c r="K241" i="9"/>
  <c r="K304" i="9" s="1"/>
  <c r="J321" i="9"/>
  <c r="H167" i="9"/>
  <c r="H164" i="9" s="1"/>
  <c r="G242" i="9"/>
  <c r="G305" i="9" s="1"/>
  <c r="H247" i="9"/>
  <c r="H310" i="9" s="1"/>
  <c r="G227" i="9"/>
  <c r="G295" i="9" s="1"/>
  <c r="H239" i="9"/>
  <c r="H302" i="9" s="1"/>
  <c r="E115" i="9"/>
  <c r="G250" i="9"/>
  <c r="G313" i="9" s="1"/>
  <c r="I249" i="9"/>
  <c r="I312" i="9" s="1"/>
  <c r="H319" i="9"/>
  <c r="I241" i="9"/>
  <c r="I304" i="9" s="1"/>
  <c r="E169" i="9"/>
  <c r="G241" i="9"/>
  <c r="G304" i="9" s="1"/>
  <c r="H322" i="9"/>
  <c r="E43" i="9"/>
  <c r="K333" i="9"/>
  <c r="K319" i="9"/>
  <c r="K247" i="9"/>
  <c r="K310" i="9" s="1"/>
  <c r="K239" i="9"/>
  <c r="K302" i="9" s="1"/>
  <c r="K224" i="9"/>
  <c r="K292" i="9" s="1"/>
  <c r="L238" i="9"/>
  <c r="L223" i="9"/>
  <c r="L291" i="9" s="1"/>
  <c r="L246" i="9"/>
  <c r="L309" i="9" s="1"/>
  <c r="L332" i="9"/>
  <c r="L318" i="9"/>
  <c r="E168" i="9"/>
  <c r="J136" i="9"/>
  <c r="E165" i="9"/>
  <c r="H228" i="9"/>
  <c r="H296" i="9" s="1"/>
  <c r="H243" i="9"/>
  <c r="H306" i="9" s="1"/>
  <c r="K179" i="9"/>
  <c r="L185" i="9" s="1"/>
  <c r="L178" i="9" s="1"/>
  <c r="L206" i="9" s="1"/>
  <c r="L200" i="9" s="1"/>
  <c r="H251" i="9"/>
  <c r="H314" i="9" s="1"/>
  <c r="I230" i="9"/>
  <c r="E273" i="9"/>
  <c r="H227" i="9"/>
  <c r="H295" i="9" s="1"/>
  <c r="E58" i="9"/>
  <c r="F37" i="9"/>
  <c r="I322" i="9"/>
  <c r="I227" i="9"/>
  <c r="I295" i="9" s="1"/>
  <c r="I250" i="9"/>
  <c r="I313" i="9" s="1"/>
  <c r="I242" i="9"/>
  <c r="I305" i="9" s="1"/>
  <c r="L226" i="9"/>
  <c r="L294" i="9" s="1"/>
  <c r="L249" i="9"/>
  <c r="L312" i="9" s="1"/>
  <c r="L321" i="9"/>
  <c r="L241" i="9"/>
  <c r="L304" i="9" s="1"/>
  <c r="H249" i="9"/>
  <c r="H312" i="9" s="1"/>
  <c r="H241" i="9"/>
  <c r="H304" i="9" s="1"/>
  <c r="H321" i="9"/>
  <c r="H226" i="9"/>
  <c r="H294" i="9" s="1"/>
  <c r="E211" i="9"/>
  <c r="E321" i="9" s="1"/>
  <c r="E202" i="9"/>
  <c r="I166" i="9"/>
  <c r="I209" i="9" s="1"/>
  <c r="F209" i="9"/>
  <c r="F212" i="9"/>
  <c r="F322" i="9" s="1"/>
  <c r="F251" i="9"/>
  <c r="F314" i="9" s="1"/>
  <c r="F323" i="9"/>
  <c r="F243" i="9"/>
  <c r="F306" i="9" s="1"/>
  <c r="F228" i="9"/>
  <c r="H75" i="9"/>
  <c r="H37" i="9"/>
  <c r="F332" i="9"/>
  <c r="F318" i="9"/>
  <c r="E208" i="9"/>
  <c r="F246" i="9"/>
  <c r="F238" i="9"/>
  <c r="F223" i="9"/>
  <c r="J166" i="9"/>
  <c r="H332" i="9"/>
  <c r="H318" i="9"/>
  <c r="H246" i="9"/>
  <c r="H238" i="9"/>
  <c r="H301" i="9" s="1"/>
  <c r="H223" i="9"/>
  <c r="H291" i="9" s="1"/>
  <c r="J172" i="9"/>
  <c r="J203" i="9"/>
  <c r="K332" i="9"/>
  <c r="K318" i="9"/>
  <c r="K238" i="9"/>
  <c r="K223" i="9"/>
  <c r="K246" i="9"/>
  <c r="K309" i="9" s="1"/>
  <c r="E138" i="9"/>
  <c r="G167" i="9"/>
  <c r="I246" i="9"/>
  <c r="B344" i="9"/>
  <c r="I318" i="9"/>
  <c r="I332" i="9"/>
  <c r="I238" i="9"/>
  <c r="I301" i="9" s="1"/>
  <c r="I223" i="9"/>
  <c r="K167" i="9"/>
  <c r="E266" i="9"/>
  <c r="K143" i="9"/>
  <c r="L149" i="9" s="1"/>
  <c r="K142" i="9"/>
  <c r="K114" i="9"/>
  <c r="E259" i="9"/>
  <c r="L258" i="9"/>
  <c r="L252" i="9" s="1"/>
  <c r="L186" i="9"/>
  <c r="E186" i="9" s="1"/>
  <c r="I75" i="9"/>
  <c r="I37" i="9"/>
  <c r="E233" i="9"/>
  <c r="F230" i="9"/>
  <c r="E230" i="9" s="1"/>
  <c r="E93" i="9"/>
  <c r="I170" i="9"/>
  <c r="I213" i="9" s="1"/>
  <c r="I94" i="9"/>
  <c r="L167" i="9"/>
  <c r="G209" i="9"/>
  <c r="J252" i="9"/>
  <c r="K203" i="9"/>
  <c r="K200" i="9" s="1"/>
  <c r="K172" i="9"/>
  <c r="F172" i="9"/>
  <c r="F203" i="9"/>
  <c r="E175" i="9"/>
  <c r="J101" i="9"/>
  <c r="K107" i="9" s="1"/>
  <c r="J100" i="9"/>
  <c r="E40" i="9"/>
  <c r="J318" i="9"/>
  <c r="J332" i="9"/>
  <c r="J246" i="9"/>
  <c r="J223" i="9"/>
  <c r="J291" i="9" s="1"/>
  <c r="J238" i="9"/>
  <c r="J206" i="9"/>
  <c r="L87" i="9"/>
  <c r="E87" i="9" s="1"/>
  <c r="E262" i="9"/>
  <c r="G332" i="9"/>
  <c r="G318" i="9"/>
  <c r="G246" i="9"/>
  <c r="G309" i="9" s="1"/>
  <c r="G238" i="9"/>
  <c r="G301" i="9" s="1"/>
  <c r="G223" i="9"/>
  <c r="G291" i="9" s="1"/>
  <c r="L301" i="9"/>
  <c r="E97" i="9"/>
  <c r="E252" i="9" l="1"/>
  <c r="E249" i="9"/>
  <c r="E312" i="9" s="1"/>
  <c r="E178" i="9"/>
  <c r="E258" i="9"/>
  <c r="E241" i="9"/>
  <c r="E304" i="9" s="1"/>
  <c r="F312" i="9"/>
  <c r="L172" i="9"/>
  <c r="E172" i="9" s="1"/>
  <c r="F227" i="9"/>
  <c r="E227" i="9" s="1"/>
  <c r="L179" i="9"/>
  <c r="E179" i="9" s="1"/>
  <c r="F242" i="9"/>
  <c r="E242" i="9" s="1"/>
  <c r="E185" i="9"/>
  <c r="F250" i="9"/>
  <c r="E250" i="9" s="1"/>
  <c r="E226" i="9"/>
  <c r="E294" i="9" s="1"/>
  <c r="E212" i="9"/>
  <c r="E206" i="9"/>
  <c r="F247" i="9"/>
  <c r="F310" i="9" s="1"/>
  <c r="F319" i="9"/>
  <c r="F239" i="9"/>
  <c r="F302" i="9" s="1"/>
  <c r="F333" i="9"/>
  <c r="F224" i="9"/>
  <c r="F292" i="9" s="1"/>
  <c r="J309" i="9"/>
  <c r="J209" i="9"/>
  <c r="E209" i="9" s="1"/>
  <c r="G333" i="9"/>
  <c r="G319" i="9"/>
  <c r="G239" i="9"/>
  <c r="G224" i="9"/>
  <c r="G247" i="9"/>
  <c r="I210" i="9"/>
  <c r="I72" i="9"/>
  <c r="E223" i="9"/>
  <c r="E291" i="9" s="1"/>
  <c r="H210" i="9"/>
  <c r="H72" i="9"/>
  <c r="E75" i="9"/>
  <c r="K100" i="9"/>
  <c r="K101" i="9"/>
  <c r="L107" i="9" s="1"/>
  <c r="E107" i="9" s="1"/>
  <c r="E238" i="9"/>
  <c r="E301" i="9" s="1"/>
  <c r="E37" i="9"/>
  <c r="B345" i="9"/>
  <c r="I319" i="9"/>
  <c r="I333" i="9"/>
  <c r="I239" i="9"/>
  <c r="I302" i="9" s="1"/>
  <c r="I247" i="9"/>
  <c r="I310" i="9" s="1"/>
  <c r="I224" i="9"/>
  <c r="E166" i="9"/>
  <c r="K210" i="9"/>
  <c r="I309" i="9"/>
  <c r="E246" i="9"/>
  <c r="E309" i="9" s="1"/>
  <c r="F291" i="9"/>
  <c r="E203" i="9"/>
  <c r="F200" i="9"/>
  <c r="F210" i="9"/>
  <c r="B347" i="9"/>
  <c r="I323" i="9"/>
  <c r="I243" i="9"/>
  <c r="I306" i="9" s="1"/>
  <c r="I251" i="9"/>
  <c r="I314" i="9" s="1"/>
  <c r="I228" i="9"/>
  <c r="I296" i="9" s="1"/>
  <c r="K136" i="9"/>
  <c r="I291" i="9"/>
  <c r="K291" i="9"/>
  <c r="E322" i="9"/>
  <c r="F301" i="9"/>
  <c r="E332" i="9"/>
  <c r="E318" i="9"/>
  <c r="J301" i="9"/>
  <c r="J170" i="9"/>
  <c r="J94" i="9"/>
  <c r="L210" i="9"/>
  <c r="E167" i="9"/>
  <c r="K108" i="9"/>
  <c r="L142" i="9"/>
  <c r="L136" i="9" s="1"/>
  <c r="L143" i="9"/>
  <c r="E143" i="9" s="1"/>
  <c r="E149" i="9"/>
  <c r="G164" i="9"/>
  <c r="G210" i="9"/>
  <c r="K301" i="9"/>
  <c r="J210" i="9"/>
  <c r="J200" i="9"/>
  <c r="H309" i="9"/>
  <c r="F309" i="9"/>
  <c r="F296" i="9"/>
  <c r="I164" i="9"/>
  <c r="F313" i="9" l="1"/>
  <c r="E295" i="9"/>
  <c r="F295" i="9"/>
  <c r="E305" i="9"/>
  <c r="E313" i="9"/>
  <c r="F305" i="9"/>
  <c r="E72" i="9"/>
  <c r="L334" i="9"/>
  <c r="L320" i="9"/>
  <c r="L248" i="9"/>
  <c r="L311" i="9" s="1"/>
  <c r="L240" i="9"/>
  <c r="L303" i="9" s="1"/>
  <c r="L225" i="9"/>
  <c r="I292" i="9"/>
  <c r="B346" i="9"/>
  <c r="I248" i="9"/>
  <c r="I245" i="9" s="1"/>
  <c r="I320" i="9"/>
  <c r="I334" i="9"/>
  <c r="I240" i="9"/>
  <c r="I237" i="9" s="1"/>
  <c r="I225" i="9"/>
  <c r="I293" i="9" s="1"/>
  <c r="J213" i="9"/>
  <c r="K334" i="9"/>
  <c r="K320" i="9"/>
  <c r="K240" i="9"/>
  <c r="K225" i="9"/>
  <c r="K248" i="9"/>
  <c r="K311" i="9" s="1"/>
  <c r="E333" i="9"/>
  <c r="E319" i="9"/>
  <c r="F334" i="9"/>
  <c r="F320" i="9"/>
  <c r="E210" i="9"/>
  <c r="F240" i="9"/>
  <c r="F248" i="9"/>
  <c r="F225" i="9"/>
  <c r="F207" i="9"/>
  <c r="J320" i="9"/>
  <c r="J334" i="9"/>
  <c r="J225" i="9"/>
  <c r="J293" i="9" s="1"/>
  <c r="J248" i="9"/>
  <c r="J311" i="9" s="1"/>
  <c r="J240" i="9"/>
  <c r="J303" i="9" s="1"/>
  <c r="I207" i="9"/>
  <c r="E200" i="9"/>
  <c r="L114" i="9"/>
  <c r="L100" i="9" s="1"/>
  <c r="E142" i="9"/>
  <c r="L101" i="9"/>
  <c r="E101" i="9" s="1"/>
  <c r="G292" i="9"/>
  <c r="G302" i="9"/>
  <c r="J319" i="9"/>
  <c r="J247" i="9"/>
  <c r="J310" i="9" s="1"/>
  <c r="J333" i="9"/>
  <c r="J224" i="9"/>
  <c r="E224" i="9" s="1"/>
  <c r="E292" i="9" s="1"/>
  <c r="J239" i="9"/>
  <c r="G334" i="9"/>
  <c r="G320" i="9"/>
  <c r="G248" i="9"/>
  <c r="G245" i="9" s="1"/>
  <c r="G240" i="9"/>
  <c r="G237" i="9" s="1"/>
  <c r="G225" i="9"/>
  <c r="G222" i="9" s="1"/>
  <c r="G207" i="9"/>
  <c r="E136" i="9"/>
  <c r="K170" i="9"/>
  <c r="K94" i="9"/>
  <c r="H334" i="9"/>
  <c r="H320" i="9"/>
  <c r="H248" i="9"/>
  <c r="H245" i="9" s="1"/>
  <c r="H240" i="9"/>
  <c r="H237" i="9" s="1"/>
  <c r="H225" i="9"/>
  <c r="H222" i="9" s="1"/>
  <c r="H207" i="9"/>
  <c r="G310" i="9"/>
  <c r="J164" i="9"/>
  <c r="G303" i="9" l="1"/>
  <c r="J292" i="9"/>
  <c r="G311" i="9"/>
  <c r="H311" i="9"/>
  <c r="H293" i="9"/>
  <c r="G293" i="9"/>
  <c r="H303" i="9"/>
  <c r="I303" i="9"/>
  <c r="I222" i="9"/>
  <c r="I290" i="9" s="1"/>
  <c r="E334" i="9"/>
  <c r="E320" i="9"/>
  <c r="H317" i="9"/>
  <c r="H308" i="9"/>
  <c r="H300" i="9"/>
  <c r="H290" i="9"/>
  <c r="G317" i="9"/>
  <c r="G308" i="9"/>
  <c r="G300" i="9"/>
  <c r="G290" i="9"/>
  <c r="I317" i="9"/>
  <c r="I308" i="9"/>
  <c r="I300" i="9"/>
  <c r="E225" i="9"/>
  <c r="E293" i="9" s="1"/>
  <c r="F222" i="9"/>
  <c r="J323" i="9"/>
  <c r="J251" i="9"/>
  <c r="J314" i="9" s="1"/>
  <c r="J228" i="9"/>
  <c r="J243" i="9"/>
  <c r="J207" i="9"/>
  <c r="L94" i="9"/>
  <c r="E94" i="9" s="1"/>
  <c r="L170" i="9"/>
  <c r="E170" i="9" s="1"/>
  <c r="E100" i="9"/>
  <c r="L108" i="9"/>
  <c r="E108" i="9" s="1"/>
  <c r="E114" i="9"/>
  <c r="E248" i="9"/>
  <c r="E311" i="9" s="1"/>
  <c r="F245" i="9"/>
  <c r="F308" i="9" s="1"/>
  <c r="F311" i="9"/>
  <c r="K213" i="9"/>
  <c r="K164" i="9"/>
  <c r="E239" i="9"/>
  <c r="E302" i="9" s="1"/>
  <c r="E240" i="9"/>
  <c r="E303" i="9" s="1"/>
  <c r="F237" i="9"/>
  <c r="K293" i="9"/>
  <c r="I311" i="9"/>
  <c r="E247" i="9"/>
  <c r="E310" i="9" s="1"/>
  <c r="J302" i="9"/>
  <c r="F317" i="9"/>
  <c r="F303" i="9"/>
  <c r="F293" i="9"/>
  <c r="K303" i="9"/>
  <c r="L293" i="9"/>
  <c r="J30" i="5"/>
  <c r="J245" i="9" l="1"/>
  <c r="J308" i="9" s="1"/>
  <c r="J306" i="9"/>
  <c r="J317" i="9"/>
  <c r="L213" i="9"/>
  <c r="E213" i="9" s="1"/>
  <c r="L164" i="9"/>
  <c r="E164" i="9" s="1"/>
  <c r="K323" i="9"/>
  <c r="K251" i="9"/>
  <c r="K245" i="9" s="1"/>
  <c r="K243" i="9"/>
  <c r="K237" i="9" s="1"/>
  <c r="K228" i="9"/>
  <c r="K222" i="9" s="1"/>
  <c r="K207" i="9"/>
  <c r="F300" i="9"/>
  <c r="F290" i="9"/>
  <c r="J222" i="9"/>
  <c r="J290" i="9" s="1"/>
  <c r="J237" i="9"/>
  <c r="J296" i="9"/>
  <c r="K296" i="9" l="1"/>
  <c r="E323" i="9"/>
  <c r="K317" i="9"/>
  <c r="K308" i="9"/>
  <c r="K300" i="9"/>
  <c r="K290" i="9"/>
  <c r="K306" i="9"/>
  <c r="J300" i="9"/>
  <c r="K314" i="9"/>
  <c r="L323" i="9"/>
  <c r="L251" i="9"/>
  <c r="L245" i="9" s="1"/>
  <c r="E245" i="9" s="1"/>
  <c r="L243" i="9"/>
  <c r="L306" i="9" s="1"/>
  <c r="L228" i="9"/>
  <c r="L296" i="9" s="1"/>
  <c r="L207" i="9"/>
  <c r="E207" i="9" s="1"/>
  <c r="E251" i="9" l="1"/>
  <c r="E314" i="9" s="1"/>
  <c r="E317" i="9"/>
  <c r="E308" i="9"/>
  <c r="L317" i="9"/>
  <c r="L308" i="9"/>
  <c r="L222" i="9"/>
  <c r="E222" i="9" s="1"/>
  <c r="E290" i="9" s="1"/>
  <c r="E228" i="9"/>
  <c r="E296" i="9" s="1"/>
  <c r="L237" i="9"/>
  <c r="E237" i="9" s="1"/>
  <c r="E300" i="9" s="1"/>
  <c r="E243" i="9"/>
  <c r="E306" i="9" s="1"/>
  <c r="L314" i="9"/>
  <c r="L290" i="9" l="1"/>
  <c r="L300" i="9"/>
  <c r="F9" i="5" l="1"/>
  <c r="K37" i="1" l="1"/>
  <c r="M37" i="1"/>
  <c r="H37" i="1"/>
  <c r="H38" i="1" l="1"/>
  <c r="H60" i="1"/>
  <c r="H44" i="1" s="1"/>
  <c r="K39" i="1" l="1"/>
  <c r="K38" i="1"/>
  <c r="O37" i="1"/>
  <c r="M38" i="1"/>
  <c r="H40" i="1" l="1"/>
  <c r="H39" i="1"/>
  <c r="M39" i="1"/>
  <c r="O39" i="1"/>
  <c r="R38" i="1"/>
  <c r="K40" i="1"/>
  <c r="R39" i="1"/>
  <c r="D39" i="1"/>
  <c r="R37" i="1"/>
  <c r="D37" i="1" l="1"/>
  <c r="H36" i="1" l="1"/>
  <c r="O35" i="1" l="1"/>
  <c r="O36" i="1"/>
  <c r="R35" i="1" l="1"/>
  <c r="R36" i="1"/>
  <c r="K36" i="1"/>
  <c r="M35" i="1"/>
  <c r="K35" i="1"/>
  <c r="H35" i="1"/>
  <c r="M36" i="1" l="1"/>
  <c r="D35" i="1"/>
  <c r="H34" i="1"/>
  <c r="D36" i="1" l="1"/>
  <c r="K34" i="1"/>
  <c r="O38" i="1" l="1"/>
  <c r="D38" i="1" l="1"/>
  <c r="M40" i="1" l="1"/>
  <c r="R40" i="1" l="1"/>
  <c r="O40" i="1" l="1"/>
  <c r="R34" i="1"/>
  <c r="M34" i="1"/>
  <c r="D40" i="1"/>
  <c r="D34" i="1" l="1"/>
  <c r="O34" i="1"/>
  <c r="F16" i="5"/>
  <c r="H22" i="5"/>
  <c r="H36" i="5"/>
  <c r="K30" i="5" l="1"/>
  <c r="H30" i="5" s="1"/>
</calcChain>
</file>

<file path=xl/comments1.xml><?xml version="1.0" encoding="utf-8"?>
<comments xmlns="http://schemas.openxmlformats.org/spreadsheetml/2006/main">
  <authors>
    <author>Автор</author>
  </authors>
  <commentList>
    <comment ref="F29" authorId="0" shapeId="0">
      <text>
        <r>
          <rPr>
            <b/>
            <sz val="10"/>
            <color indexed="81"/>
            <rFont val="Tahoma"/>
            <family val="2"/>
            <charset val="204"/>
          </rPr>
          <t>1) 2 754,2760</t>
        </r>
        <r>
          <rPr>
            <sz val="10"/>
            <color indexed="81"/>
            <rFont val="Tahoma"/>
            <family val="2"/>
            <charset val="204"/>
          </rPr>
          <t xml:space="preserve">  текущий ремонт крыши в ДК Гармония                                                                   </t>
        </r>
        <r>
          <rPr>
            <b/>
            <sz val="10"/>
            <color indexed="81"/>
            <rFont val="Tahoma"/>
            <family val="2"/>
            <charset val="204"/>
          </rPr>
          <t xml:space="preserve">2) 619,48 </t>
        </r>
        <r>
          <rPr>
            <sz val="10"/>
            <color indexed="81"/>
            <rFont val="Tahoma"/>
            <family val="2"/>
            <charset val="204"/>
          </rPr>
          <t xml:space="preserve">ДШИ Пойк. Ремонт крыльца и пожарных выходов (в соответствии с требованиями пожарной безопасности) 
</t>
        </r>
        <r>
          <rPr>
            <b/>
            <sz val="10"/>
            <color indexed="81"/>
            <rFont val="Tahoma"/>
            <family val="2"/>
            <charset val="204"/>
          </rPr>
          <t>3) 490,000</t>
        </r>
        <r>
          <rPr>
            <sz val="10"/>
            <color indexed="81"/>
            <rFont val="Tahoma"/>
            <family val="2"/>
            <charset val="204"/>
          </rPr>
          <t xml:space="preserve"> ДШИ им Райшева Демонтаж и замена светильников на энергосберегающие</t>
        </r>
      </text>
    </comment>
    <comment ref="G36" authorId="0" shapeId="0">
      <text>
        <r>
          <rPr>
            <b/>
            <sz val="9"/>
            <color indexed="81"/>
            <rFont val="Tahoma"/>
            <family val="2"/>
            <charset val="204"/>
          </rPr>
          <t>пиры</t>
        </r>
      </text>
    </comment>
    <comment ref="H36" authorId="0" shapeId="0">
      <text>
        <r>
          <rPr>
            <sz val="9"/>
            <color indexed="81"/>
            <rFont val="Tahoma"/>
            <family val="2"/>
            <charset val="204"/>
          </rPr>
          <t xml:space="preserve">смр
</t>
        </r>
      </text>
    </comment>
    <comment ref="F79" authorId="0" shapeId="0">
      <text>
        <r>
          <rPr>
            <b/>
            <sz val="9"/>
            <color indexed="81"/>
            <rFont val="Tahoma"/>
            <family val="2"/>
            <charset val="204"/>
          </rPr>
          <t>в тч. Поселения 48 583,10380</t>
        </r>
        <r>
          <rPr>
            <sz val="9"/>
            <color indexed="81"/>
            <rFont val="Tahoma"/>
            <family val="2"/>
            <charset val="204"/>
          </rPr>
          <t xml:space="preserve">
</t>
        </r>
      </text>
    </comment>
    <comment ref="F83" authorId="0" shapeId="0">
      <text>
        <r>
          <rPr>
            <sz val="9"/>
            <color indexed="81"/>
            <rFont val="Tahoma"/>
            <family val="2"/>
            <charset val="204"/>
          </rPr>
          <t xml:space="preserve">финансирование до апреля.
</t>
        </r>
      </text>
    </comment>
    <comment ref="F86" authorId="0" shapeId="0">
      <text>
        <r>
          <rPr>
            <sz val="9"/>
            <color indexed="81"/>
            <rFont val="Tahoma"/>
            <family val="2"/>
            <charset val="204"/>
          </rPr>
          <t xml:space="preserve">приобретение рамок, печатной продукции, цветов - до конца года
</t>
        </r>
      </text>
    </comment>
  </commentList>
</comments>
</file>

<file path=xl/comments2.xml><?xml version="1.0" encoding="utf-8"?>
<comments xmlns="http://schemas.openxmlformats.org/spreadsheetml/2006/main">
  <authors>
    <author>user</author>
  </authors>
  <commentList>
    <comment ref="J22" authorId="0" shapeId="0">
      <text>
        <r>
          <rPr>
            <b/>
            <sz val="9"/>
            <color indexed="81"/>
            <rFont val="Tahoma"/>
            <family val="2"/>
            <charset val="204"/>
          </rPr>
          <t>пиры</t>
        </r>
      </text>
    </comment>
    <comment ref="K22" authorId="0" shapeId="0">
      <text>
        <r>
          <rPr>
            <sz val="9"/>
            <color indexed="81"/>
            <rFont val="Tahoma"/>
            <family val="2"/>
            <charset val="204"/>
          </rPr>
          <t xml:space="preserve">смр
</t>
        </r>
      </text>
    </comment>
  </commentList>
</comments>
</file>

<file path=xl/comments3.xml><?xml version="1.0" encoding="utf-8"?>
<comments xmlns="http://schemas.openxmlformats.org/spreadsheetml/2006/main">
  <authors>
    <author>user</author>
    <author>Автор</author>
  </authors>
  <commentList>
    <comment ref="I46" authorId="0" shapeId="0">
      <text>
        <r>
          <rPr>
            <b/>
            <sz val="9"/>
            <color indexed="81"/>
            <rFont val="Tahoma"/>
            <family val="2"/>
            <charset val="204"/>
          </rPr>
          <t>Увеличение: НАКАЗЫ Избирателей</t>
        </r>
        <r>
          <rPr>
            <sz val="9"/>
            <color indexed="81"/>
            <rFont val="Tahoma"/>
            <family val="2"/>
            <charset val="204"/>
          </rPr>
          <t xml:space="preserve">
</t>
        </r>
      </text>
    </comment>
    <comment ref="I50" authorId="0" shapeId="0">
      <text>
        <r>
          <rPr>
            <b/>
            <sz val="9"/>
            <color indexed="81"/>
            <rFont val="Tahoma"/>
            <family val="2"/>
            <charset val="204"/>
          </rPr>
          <t xml:space="preserve">Уменьшение в связи с едфицитом средств местного бюджета
осталось:
Средства поселений:
Приобретения 9 598,37
</t>
        </r>
        <r>
          <rPr>
            <b/>
            <u/>
            <sz val="9"/>
            <color indexed="81"/>
            <rFont val="Tahoma"/>
            <family val="2"/>
            <charset val="204"/>
          </rPr>
          <t>БИБЛИОТЕКИ   2 932,32 в т.ч:</t>
        </r>
        <r>
          <rPr>
            <b/>
            <sz val="9"/>
            <color indexed="81"/>
            <rFont val="Tahoma"/>
            <family val="2"/>
            <charset val="204"/>
          </rPr>
          <t xml:space="preserve">
Пойковский  817,00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Салым 326,17 в т.ч:
1) библ фонд 200,00
2) Моноблок 60,00
3) Жалюзи 30,168
4)Дезар 36,00
Куть-Ях 206,55
1) библ фонд 150,00
2) бокс компьютерный 20,00
3) Шкаф для одежды 11,55
4) Стол прямой 25,00
У-Юган 469,10
1) Библ фонд 160,00
2) Шкаф для докуменетов 13,00
3) Мобьный стол трансформер 90,00
4) Штатив с креплением 9,6
5) Моноблок 120,00
6) Ноутбук 60,00
7) Флипчарт 12,00
8) Ламинатор 4,5
Лемпино  193,00
библ фонд 100,00    
шкаф пенал со стеклом 13,00
Мобильные столы 6 шт 80,00
Какатеевы 197,00
Ноутбук 60,00
Штатиф 5,0
Флипчарт 12,00
Сентябрьский 172,00
библ фонд 100,00
Деза 72,00
Сингапай 551,50
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
</t>
        </r>
        <r>
          <rPr>
            <b/>
            <u/>
            <sz val="9"/>
            <color indexed="81"/>
            <rFont val="Tahoma"/>
            <family val="2"/>
            <charset val="204"/>
          </rPr>
          <t>ДОМА КУЛЬТУРЫ  6 503 ,42</t>
        </r>
        <r>
          <rPr>
            <b/>
            <sz val="9"/>
            <color indexed="81"/>
            <rFont val="Tahoma"/>
            <family val="2"/>
            <charset val="204"/>
          </rPr>
          <t xml:space="preserve">
салым 2 2254,02 ( генератор бесперебойного питания 150,00 Звуковой оборудование 2 074,017)
К-Ях - 62,0 (системный блок 50,00,                             ламинатор 12,00)
У-Юган - 40,00 (бензиновый генератор)
Каркатеевы - 2 167,65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
Сентябрьский 1939,75 
Сценические костюмы 200,00
Куллер для воды 13,00
Дезары 40,00
Системный блок 30,00
Швейное оборудование 146,97
Звуковое оборудование 1 522,780
Сингапай 70,0 (Костюмы)</t>
        </r>
        <r>
          <rPr>
            <sz val="9"/>
            <color indexed="81"/>
            <rFont val="Tahoma"/>
            <family val="2"/>
            <charset val="204"/>
          </rPr>
          <t xml:space="preserve">
</t>
        </r>
      </text>
    </comment>
    <comment ref="P50" authorId="1" shapeId="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R50" authorId="1" shapeId="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I54" authorId="0" shapeId="0">
      <text>
        <r>
          <rPr>
            <sz val="9"/>
            <color indexed="81"/>
            <rFont val="Tahoma"/>
            <family val="2"/>
            <charset val="204"/>
          </rPr>
          <t xml:space="preserve">
Увеличение: Зачисление остатков прошлого года 264 161,92695;
Уменьшение 20 803,12766 в бюджет
</t>
        </r>
      </text>
    </comment>
    <comment ref="I57" authorId="0" shapeId="0">
      <text>
        <r>
          <rPr>
            <b/>
            <sz val="9"/>
            <color indexed="81"/>
            <rFont val="Tahoma"/>
            <family val="2"/>
            <charset val="204"/>
          </rPr>
          <t>Строительство КОК</t>
        </r>
        <r>
          <rPr>
            <sz val="9"/>
            <color indexed="81"/>
            <rFont val="Tahoma"/>
            <family val="2"/>
            <charset val="204"/>
          </rPr>
          <t xml:space="preserve">
уменьшение на сумму остатков прошлого года</t>
        </r>
      </text>
    </comment>
    <comment ref="I93" authorId="0" shapeId="0">
      <text>
        <r>
          <rPr>
            <b/>
            <sz val="9"/>
            <color indexed="81"/>
            <rFont val="Tahoma"/>
            <family val="2"/>
            <charset val="204"/>
          </rPr>
          <t>уменьшение  ИИ в связи с поступлением дотаций и наличием остатков прошлого года</t>
        </r>
        <r>
          <rPr>
            <sz val="9"/>
            <color indexed="81"/>
            <rFont val="Tahoma"/>
            <family val="2"/>
            <charset val="204"/>
          </rPr>
          <t xml:space="preserve">
</t>
        </r>
      </text>
    </comment>
    <comment ref="I103" authorId="0" shapeId="0">
      <text>
        <r>
          <rPr>
            <b/>
            <sz val="9"/>
            <color indexed="81"/>
            <rFont val="Tahoma"/>
            <family val="2"/>
            <charset val="204"/>
          </rPr>
          <t>увеличение 149,5 наказы</t>
        </r>
        <r>
          <rPr>
            <sz val="9"/>
            <color indexed="81"/>
            <rFont val="Tahoma"/>
            <family val="2"/>
            <charset val="204"/>
          </rPr>
          <t xml:space="preserve">
</t>
        </r>
      </text>
    </comment>
    <comment ref="I104" authorId="0" shapeId="0">
      <text>
        <r>
          <rPr>
            <b/>
            <sz val="9"/>
            <color indexed="81"/>
            <rFont val="Tahoma"/>
            <family val="2"/>
            <charset val="204"/>
          </rPr>
          <t>увеличение:
с.п.салым 4 286,62937
дотации 1925,13712
из МП Спорт 5 000,00</t>
        </r>
        <r>
          <rPr>
            <sz val="9"/>
            <color indexed="81"/>
            <rFont val="Tahoma"/>
            <family val="2"/>
            <charset val="204"/>
          </rPr>
          <t xml:space="preserve">
</t>
        </r>
        <r>
          <rPr>
            <b/>
            <sz val="9"/>
            <color indexed="81"/>
            <rFont val="Tahoma"/>
            <family val="2"/>
            <charset val="204"/>
          </rPr>
          <t>дотации 6 039,04758
уменьшение - 1252,51358 распределено в исполнение Родникам
Предстоит умегьшение на сумму  4 786,53400 передадим в бюджет (дотации для поселений)</t>
        </r>
      </text>
    </comment>
    <comment ref="I107" authorId="0" shapeId="0">
      <text>
        <r>
          <rPr>
            <b/>
            <sz val="9"/>
            <color indexed="81"/>
            <rFont val="Tahoma"/>
            <family val="2"/>
            <charset val="204"/>
          </rPr>
          <t>Уменьшение ИИ в связи с поступлением трасфертов с.п. Салым
и уточнение плана мероприятий
Мун задание ТО Культура
Мероприятия: 21 400,000 (план мероприятий уточнено)
Полномочия поселений 10 087,661 (уменьшение с.п.Салым)</t>
        </r>
        <r>
          <rPr>
            <sz val="9"/>
            <color indexed="81"/>
            <rFont val="Tahoma"/>
            <family val="2"/>
            <charset val="204"/>
          </rPr>
          <t xml:space="preserve">
</t>
        </r>
      </text>
    </comment>
    <comment ref="I111" authorId="0" shapeId="0">
      <text>
        <r>
          <rPr>
            <b/>
            <sz val="9"/>
            <color indexed="81"/>
            <rFont val="Tahoma"/>
            <family val="2"/>
            <charset val="204"/>
          </rPr>
          <t>увеличение + 1005,51683 салым</t>
        </r>
        <r>
          <rPr>
            <sz val="9"/>
            <color indexed="81"/>
            <rFont val="Tahoma"/>
            <family val="2"/>
            <charset val="204"/>
          </rPr>
          <t xml:space="preserve">
</t>
        </r>
      </text>
    </comment>
    <comment ref="I114" authorId="0" shapeId="0">
      <text>
        <r>
          <rPr>
            <b/>
            <sz val="9"/>
            <color indexed="81"/>
            <rFont val="Tahoma"/>
            <family val="2"/>
            <charset val="204"/>
          </rPr>
          <t>полномочия поселений
уменьешение с.п.салым</t>
        </r>
        <r>
          <rPr>
            <sz val="9"/>
            <color indexed="81"/>
            <rFont val="Tahoma"/>
            <family val="2"/>
            <charset val="204"/>
          </rPr>
          <t xml:space="preserve">
</t>
        </r>
      </text>
    </comment>
    <comment ref="I124" authorId="0" shapeId="0">
      <text>
        <r>
          <rPr>
            <b/>
            <sz val="9"/>
            <color indexed="81"/>
            <rFont val="Tahoma"/>
            <family val="2"/>
            <charset val="204"/>
          </rPr>
          <t>увеличение наказы избирателей</t>
        </r>
        <r>
          <rPr>
            <sz val="9"/>
            <color indexed="81"/>
            <rFont val="Tahoma"/>
            <family val="2"/>
            <charset val="204"/>
          </rPr>
          <t xml:space="preserve">
</t>
        </r>
      </text>
    </comment>
    <comment ref="I125" authorId="0" shapeId="0">
      <text>
        <r>
          <rPr>
            <b/>
            <sz val="9"/>
            <color indexed="81"/>
            <rFont val="Tahoma"/>
            <family val="2"/>
            <charset val="204"/>
          </rPr>
          <t xml:space="preserve">Дотации + 1252,5180
</t>
        </r>
        <r>
          <rPr>
            <sz val="9"/>
            <color indexed="81"/>
            <rFont val="Tahoma"/>
            <family val="2"/>
            <charset val="204"/>
          </rPr>
          <t xml:space="preserve">
</t>
        </r>
      </text>
    </comment>
    <comment ref="I135" authorId="0" shapeId="0">
      <text>
        <r>
          <rPr>
            <b/>
            <sz val="9"/>
            <color indexed="81"/>
            <rFont val="Tahoma"/>
            <family val="2"/>
            <charset val="204"/>
          </rPr>
          <t>умегньшение в связи с дефицитом бюджета</t>
        </r>
        <r>
          <rPr>
            <sz val="9"/>
            <color indexed="81"/>
            <rFont val="Tahoma"/>
            <family val="2"/>
            <charset val="204"/>
          </rPr>
          <t xml:space="preserve">
</t>
        </r>
      </text>
    </comment>
    <comment ref="I149" authorId="0" shapeId="0">
      <text>
        <r>
          <rPr>
            <b/>
            <sz val="9"/>
            <color indexed="81"/>
            <rFont val="Tahoma"/>
            <family val="2"/>
            <charset val="204"/>
          </rPr>
          <t xml:space="preserve">мун задание библиотеки
Полномочия поселений                                   2 097,78399 - 775,48751= 1322,297
</t>
        </r>
        <r>
          <rPr>
            <sz val="9"/>
            <color indexed="81"/>
            <rFont val="Tahoma"/>
            <family val="2"/>
            <charset val="204"/>
          </rPr>
          <t xml:space="preserve">
</t>
        </r>
      </text>
    </comment>
    <comment ref="J149" authorId="0" shapeId="0">
      <text>
        <r>
          <rPr>
            <b/>
            <sz val="9"/>
            <color indexed="81"/>
            <rFont val="Tahoma"/>
            <family val="2"/>
            <charset val="204"/>
          </rPr>
          <t>103,3%</t>
        </r>
        <r>
          <rPr>
            <sz val="9"/>
            <color indexed="81"/>
            <rFont val="Tahoma"/>
            <family val="2"/>
            <charset val="204"/>
          </rPr>
          <t xml:space="preserve">
</t>
        </r>
      </text>
    </comment>
    <comment ref="P149" authorId="0" shapeId="0">
      <text>
        <r>
          <rPr>
            <b/>
            <sz val="9"/>
            <color indexed="81"/>
            <rFont val="Tahoma"/>
            <family val="2"/>
            <charset val="204"/>
          </rPr>
          <t xml:space="preserve">БЫЛО: мун задание библиотеки
Местный бюджет 1 952,95650
Дефицит по Оплата труда  1 832,95650  в тч специалистам поселений 40% 667,4
транспортные расходы 120,00
Полномочия поселений                                   2 097,78399
Библиотеки 
МКУ тех персонал </t>
        </r>
        <r>
          <rPr>
            <sz val="9"/>
            <color indexed="81"/>
            <rFont val="Tahoma"/>
            <family val="2"/>
            <charset val="204"/>
          </rPr>
          <t xml:space="preserve">
</t>
        </r>
      </text>
    </comment>
    <comment ref="I156" authorId="0" shapeId="0">
      <text>
        <r>
          <rPr>
            <b/>
            <sz val="9"/>
            <color indexed="81"/>
            <rFont val="Tahoma"/>
            <family val="2"/>
            <charset val="204"/>
          </rPr>
          <t>Поселения: МКУ тех персонал</t>
        </r>
        <r>
          <rPr>
            <sz val="9"/>
            <color indexed="81"/>
            <rFont val="Tahoma"/>
            <family val="2"/>
            <charset val="204"/>
          </rPr>
          <t xml:space="preserve">
</t>
        </r>
      </text>
    </comment>
    <comment ref="I185" authorId="0" shapeId="0">
      <text>
        <r>
          <rPr>
            <b/>
            <sz val="9"/>
            <color indexed="81"/>
            <rFont val="Tahoma"/>
            <family val="2"/>
            <charset val="204"/>
          </rPr>
          <t>1) Оплата труда + налоги = 755428,11</t>
        </r>
        <r>
          <rPr>
            <sz val="9"/>
            <color indexed="81"/>
            <rFont val="Tahoma"/>
            <family val="2"/>
            <charset val="204"/>
          </rPr>
          <t xml:space="preserve">
</t>
        </r>
        <r>
          <rPr>
            <b/>
            <sz val="9"/>
            <color indexed="81"/>
            <rFont val="Tahoma"/>
            <family val="2"/>
            <charset val="204"/>
          </rPr>
          <t>2) выплата на оздоровление + антивирусник = 163 350,00
3) командировочные+подписка Консультант+ = 100 844,460</t>
        </r>
      </text>
    </comment>
    <comment ref="I189" authorId="0" shapeId="0">
      <text>
        <r>
          <rPr>
            <b/>
            <sz val="9"/>
            <color indexed="81"/>
            <rFont val="Tahoma"/>
            <family val="2"/>
            <charset val="204"/>
          </rPr>
          <t xml:space="preserve">увеличение + 600,35942 дотации
</t>
        </r>
        <r>
          <rPr>
            <sz val="9"/>
            <color indexed="81"/>
            <rFont val="Tahoma"/>
            <family val="2"/>
            <charset val="204"/>
          </rPr>
          <t xml:space="preserve">
</t>
        </r>
      </text>
    </comment>
  </commentList>
</comments>
</file>

<file path=xl/sharedStrings.xml><?xml version="1.0" encoding="utf-8"?>
<sst xmlns="http://schemas.openxmlformats.org/spreadsheetml/2006/main" count="1556" uniqueCount="384">
  <si>
    <t>Муниципальная программа</t>
  </si>
  <si>
    <t>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</si>
  <si>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1. Совершенствование и формирование современного имущественного комплекса учреждений и организаций культуры.</t>
  </si>
  <si>
    <t xml:space="preserve">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</si>
  <si>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</si>
  <si>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 п/п</t>
  </si>
  <si>
    <t>Значение показателя по годам</t>
  </si>
  <si>
    <t>Число посещений культурных мероприятий, тыс. единиц</t>
  </si>
  <si>
    <t>Департамент культуры и спорта Нефтеюганского района</t>
  </si>
  <si>
    <t>Источники финансирования</t>
  </si>
  <si>
    <t>Расходы по годам (тыс. рублей)</t>
  </si>
  <si>
    <t>Всего</t>
  </si>
  <si>
    <t>всего</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</si>
  <si>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</si>
  <si>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</si>
  <si>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</si>
  <si>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</si>
  <si>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</si>
  <si>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</si>
  <si>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&lt;*&gt; указывается при наличии</t>
  </si>
  <si>
    <t>&lt;1&gt; - указывается наименование муниципальной программы;</t>
  </si>
  <si>
    <t>&lt;2&gt; - сроки реализации муниципальной программы отражаются в формате «20__-20__гоы и на период до 20___года» начиная с 2022 года, либо с года начала реализации муниципальной программы (для новых муниципальных программ);</t>
  </si>
  <si>
    <t>&lt;3&gt; - указывается тип муниципальной программы;</t>
  </si>
  <si>
    <t>&lt;4&gt; - указывается куратор муниципальной программы;</t>
  </si>
  <si>
    <t>&lt;5&gt;- указывается исполнительный орган местного самоуправления Нефтеюганского района, определенный ответственным за реализацию муниципальной программы;</t>
  </si>
  <si>
    <t>&lt;6&gt; - указывается перечень исполнительных органов местного самоуправления Нефтеюганского района, участвующих в разработке и реализации отдельных структурных элементов (основных мероприятий) муниципальной программы (подпрограммы);</t>
  </si>
  <si>
    <t>&lt;7&gt; - строка отражается в случае, если муниципальная программа направлена на достижение национальной цели в соответствии с Указами Президента Российской Федерации от 07.05.2018 № 204 «О национальных целях и стратегических задачах развития Российской Федерации на период до 2024 года», от 21.07.2020 № 474 «О национальных целях развития Российской Федерации на период до 2030 года;</t>
  </si>
  <si>
    <t>&lt;8&gt; - указываются цели, задачи и подпрограммы муниципальной программы;</t>
  </si>
  <si>
    <t>При формировании целей муниципальной программы учитываются цели национальных проектов, соответствующие сфере реализации муниципальной программы;</t>
  </si>
  <si>
    <t>&lt;9&gt; - указываются целевые показатели муниципальной программы, в том числе:</t>
  </si>
  <si>
    <t>&lt;9.1&gt; - наименование целевого показателя, приводится единица его измерения (через запятую);</t>
  </si>
  <si>
    <t>&lt;9.2&gt; - ссылка на форму федерального статистического наблюдения, нормативно правовой либо распорядительный акт, в соответствие с которым установлен данный показатель;</t>
  </si>
  <si>
    <t>&lt;9.3&gt; - отражаются значения показателя на год разработки проекта муниципальной программы, либо на год, предшествующий ее разработке, ( в случае отсутствия данных на год разработки), либо доведенные до Нефтеюганского района базовые значения в соответствии с нормативными правовыми актами Российской Федерации и иными документами;</t>
  </si>
  <si>
    <t xml:space="preserve"> &lt;9.4&gt; - заполняется в зависимости от значений показателя по годам реализации муниципальной программы: если значения по годам заполнялись «на отчетную дату», либо «нарастающим итогом», то целевое значение показателя равняется значению показателя в последний год  реализации муниципальной программы, если «за отчетный год» - то равняется сумме значений показателя за все годы реализации муниципальной программы; </t>
  </si>
  <si>
    <t>&lt;9.5.&gt; - указывается исполнительный орган местного самоуправления Нефтеюганского района ответственный за достижение значения целевого показателей;</t>
  </si>
  <si>
    <t>&lt;9.6&gt; - под «*» отражаются показатели, характеризующие социально-экономическое развитие и не являющиеся специфичными для конкретной муниципальной программы (например. «Индекс физического объема инвестиций в основной капитал», «Валовый региональный продукт на душу населения», «Уровень бедности»).</t>
  </si>
  <si>
    <t>В число показателей муниципальных программ включаются:</t>
  </si>
  <si>
    <t>показатели, характеризующие достижение национальных целей;</t>
  </si>
  <si>
    <t>показатели приоритетов социально-экономического развития муниципального образования Нефтеюганский район, определяемые в документах стратегического планирования и указах Президенты Российской Федерации;</t>
  </si>
  <si>
    <t>показатели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утвержденные Указом Президента Российской Федерации от 04.02.2021 № 68.</t>
  </si>
  <si>
    <t>Показатели региональных проектов, входящих в состав федеральных и (или) национальных проектов, должны соответствовать требованиям, установленным с постановлением N 1288, региональный проект и постановлением 2126-па проекты Нефтеюганского района.</t>
  </si>
  <si>
    <t xml:space="preserve">Количество используемых целевых показателей муниципальной программы должно быть минимально и в то же время достаточно для отражения достижения цели и решения задач муниципальной программы.  </t>
  </si>
  <si>
    <t>Показатели муниципальной программы должны удовлетворять одному из следующих условий:</t>
  </si>
  <si>
    <t>их целевые значения определяются на основе данных федерального статистического наблюдения;</t>
  </si>
  <si>
    <t>их целевые значения рассчитываются по методикам, утвержденным в том числе федеральными органами исполнительной власти;</t>
  </si>
  <si>
    <t>их целевые значения рассчитываются по методикам, утвержденным ответственными исполнителями муниципальных программ, соисполнителями муниципальных программ.</t>
  </si>
  <si>
    <t xml:space="preserve">&lt;10&gt; - указывается общий объем финансирования и в разрезе по годам в соответствии с решением о бюджете Нефтеюганского района. </t>
  </si>
  <si>
    <t>&lt;11&gt; - финансирование указывается в целом по портфелю проектов и в разрезе региональных проектов;</t>
  </si>
  <si>
    <t xml:space="preserve">&lt;12&gt; - указывается общий объем налоговых расходов в разрезе по годам. </t>
  </si>
  <si>
    <t>Таблица 8</t>
  </si>
  <si>
    <t>Показатели, характеризующие эффективность структурного элемента (основного мероприятия) муниципальной программы</t>
  </si>
  <si>
    <t xml:space="preserve"> № </t>
  </si>
  <si>
    <t>Базовый показатель на начало реализации муниципальной программы</t>
  </si>
  <si>
    <t>Целевое значение показателя на момент окончания действия муниципальной программы</t>
  </si>
  <si>
    <t xml:space="preserve"> </t>
  </si>
  <si>
    <t>2023 г.</t>
  </si>
  <si>
    <t>2024 г.</t>
  </si>
  <si>
    <t>Таблица 6</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</si>
  <si>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</si>
  <si>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</si>
  <si>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Объем финансирования инвестиционного проекта, (тыс. рублей)</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</si>
  <si>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</si>
  <si>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</si>
  <si>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</si>
  <si>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</si>
  <si>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</si>
  <si>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</si>
  <si>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</si>
  <si>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</si>
  <si>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Мощность</t>
  </si>
  <si>
    <t>Таблица 4</t>
  </si>
  <si>
    <t xml:space="preserve">№ </t>
  </si>
  <si>
    <t xml:space="preserve">Наименование объекта </t>
  </si>
  <si>
    <t>Срок строительства, проектирования (характер работ)</t>
  </si>
  <si>
    <t>Расчетная стоимость объекта в ценах соответствующих лет с учетом периода реализации проекта</t>
  </si>
  <si>
    <t>Источник финансирования</t>
  </si>
  <si>
    <t>Объем финансирования, тыс. рублей</t>
  </si>
  <si>
    <t>Механизм реализации</t>
  </si>
  <si>
    <t>Заказчик по строительству (приобретению)</t>
  </si>
  <si>
    <t>в том числе</t>
  </si>
  <si>
    <t>Таблица 3</t>
  </si>
  <si>
    <t>Перечень структурных элементов (основных мероприятий) муниципальной программы</t>
  </si>
  <si>
    <t xml:space="preserve"> № структурного элемента (основного мероприятия)</t>
  </si>
  <si>
    <t>Наименование структурного элемента (основного мероприятия)</t>
  </si>
  <si>
    <t>Направления расходов структурного элемента (основного мероприятия)</t>
  </si>
  <si>
    <t xml:space="preserve">Наименование порядка, номер приложения (при наличии) либо реквизиты  нормативно правового акта утвержденного Порядка </t>
  </si>
  <si>
    <t>1.1.</t>
  </si>
  <si>
    <t>Таблица 2</t>
  </si>
  <si>
    <t xml:space="preserve">Распределение финансовых ресурсов муниципальной программы </t>
  </si>
  <si>
    <r>
      <t xml:space="preserve">Структурный элемент (основное мероприятие) муниципальной программы </t>
    </r>
    <r>
      <rPr>
        <sz val="11"/>
        <color theme="1"/>
        <rFont val="Times New Roman"/>
        <family val="1"/>
        <charset val="204"/>
      </rPr>
      <t>&lt;1&gt; &lt;*&gt;</t>
    </r>
  </si>
  <si>
    <r>
      <t xml:space="preserve">Ответственный исполнитель / соисполнитель </t>
    </r>
    <r>
      <rPr>
        <sz val="11"/>
        <color theme="1"/>
        <rFont val="Times New Roman"/>
        <family val="1"/>
        <charset val="204"/>
      </rPr>
      <t>&lt;2&gt;</t>
    </r>
  </si>
  <si>
    <r>
      <t xml:space="preserve">Финансовые затраты на реализацию (тыс.  рублей) </t>
    </r>
    <r>
      <rPr>
        <sz val="11"/>
        <color theme="1"/>
        <rFont val="Times New Roman"/>
        <family val="1"/>
        <charset val="204"/>
      </rPr>
      <t>&lt;3&gt;</t>
    </r>
    <r>
      <rPr>
        <sz val="11"/>
        <color rgb="FF000000"/>
        <rFont val="Times New Roman"/>
        <family val="1"/>
        <charset val="204"/>
      </rPr>
      <t xml:space="preserve"> </t>
    </r>
  </si>
  <si>
    <t>средства по Соглашениям по передаче полномочий * *</t>
  </si>
  <si>
    <t>средства поселений ***</t>
  </si>
  <si>
    <t>средства по Соглашениям по передаче полномочий **</t>
  </si>
  <si>
    <t>Итого по подпрограмме I</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</si>
  <si>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</si>
  <si>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</si>
  <si>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</si>
  <si>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</si>
  <si>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</si>
  <si>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</si>
  <si>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средства поселений***</t>
  </si>
  <si>
    <t>&lt;*&gt; В таблице указываются все региональные проекты в том числе без финансирования.</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</si>
  <si>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</si>
  <si>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&lt;2&gt; - указывается наименование исполнительного органа минимальной власти Нефтеюганского района ответственного за реализацию структурного элемента (основного мероприятия);</t>
  </si>
  <si>
    <t>&lt;3&gt; - объемы финансирования каждого структурного элемента (основного мероприятия) распределяются по источникам финансирования.</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</si>
  <si>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</si>
  <si>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&lt;1&gt;- указываются структурные элементы (основные мероприятия). Наименование региональных проектов и проектов муниципального образования в соответствии с их паспортами;</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</si>
  <si>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</si>
  <si>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</si>
  <si>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</si>
  <si>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</si>
  <si>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</si>
  <si>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прогнозных условных и без условных обязательств, возникающих при исполнении концессионного соглашения</t>
  </si>
  <si>
    <t>Объем безусловных обязательств</t>
  </si>
  <si>
    <t xml:space="preserve">Объем условных обязательств </t>
  </si>
  <si>
    <t>2022 год</t>
  </si>
  <si>
    <t>2023 год</t>
  </si>
  <si>
    <t>2024 год</t>
  </si>
  <si>
    <t>2025-2030 годы</t>
  </si>
  <si>
    <t>2.1.</t>
  </si>
  <si>
    <t>2.2.</t>
  </si>
  <si>
    <t>Департамент культуры и спорта Нефтеюганского района / МКУ "Управление по обеспечению деятельности учреждений культуры и спорта"</t>
  </si>
  <si>
    <t>2.3.</t>
  </si>
  <si>
    <t>2.4.</t>
  </si>
  <si>
    <t>2.5.</t>
  </si>
  <si>
    <t>Итого по подпрограмме II</t>
  </si>
  <si>
    <t xml:space="preserve">Департамент культуры и спорта Нефтеюганского района </t>
  </si>
  <si>
    <t>3.1.</t>
  </si>
  <si>
    <t>3.2.</t>
  </si>
  <si>
    <t>Итого по подпрограмме III</t>
  </si>
  <si>
    <t>Подпрограмма 1 "Обеспечение прав граждан на доступ к объектам сферы культуры и информационным ресурсам"</t>
  </si>
  <si>
    <t>1.2.</t>
  </si>
  <si>
    <t>Департамент культуры и спорта Нефтеюганского района / БУНР "Межпоселенческая библиотека"</t>
  </si>
  <si>
    <t>Департамент культуры и спорта Нефтеюганского района / НРМБУ ДО "ДМШ", НРМБУ ДО "ДШИ" им. Г.С.Райшева</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</si>
  <si>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t>
  </si>
  <si>
    <t>Количество организаций культуры, получивших современное оборудование (переоснащены муниципальные библиотеки по модельному стандарту), единиц</t>
  </si>
  <si>
    <t>ДКиС НР/ БУНР "Межпоселенческая библиотека"</t>
  </si>
  <si>
    <t>ДКиС НР/ НРМБУ ДО "ДМШ", НРМБУ ДО "ДШИ" им. Г.С.Райшева</t>
  </si>
  <si>
    <t>ДКиС НР/  НРБУ ТО "Культура", БУНР "Межпоселенческая библиотека",  НРМБУ ДО "ДМШ", НРМБУ ДО "ДШИ" им. Г.С.Райшева</t>
  </si>
  <si>
    <t>Количество организаций культуры, получивших современное оборудование (оснащены образовательные учреждения в сфере культуры (детские школы искусств по видам искусств) музыкальными инструментами, оборудованием и учебными материалами), нарстающим итогом</t>
  </si>
  <si>
    <t>2019 год</t>
  </si>
  <si>
    <t>2020 год</t>
  </si>
  <si>
    <t>2021 год</t>
  </si>
  <si>
    <t>местный бюджет****</t>
  </si>
  <si>
    <t>МКУ "Управление по делам администрации Нефтеюганского района"</t>
  </si>
  <si>
    <t>Департамент финансов Нефтеюганского района/  Администрация городского поселения Пойковский</t>
  </si>
  <si>
    <t>Ответственный исполнитель (Департамент культуры и спорта Нефтеюганского района)</t>
  </si>
  <si>
    <t>Соисполнитель 4 (Департамент финансов Нефтеюганского района/  Администрация городского поселения Пойковский)</t>
  </si>
  <si>
    <t xml:space="preserve">Задача 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</si>
  <si>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Задача 1. "Совершенствование и формирование современного имущественного комплекса учреждений и организаций культуры"</t>
  </si>
  <si>
    <t>Подпрограмма III «Совершенствование системы управления в сфере культуры»</t>
  </si>
  <si>
    <t xml:space="preserve">Задача 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 </t>
  </si>
  <si>
    <t>Цель: "Реализация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</si>
  <si>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Реализация мероприятий по соблюдению порядка предоставления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</si>
  <si>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 xml:space="preserve">Реализация мероприятий по организации деятельности поселенческих библиотек </t>
  </si>
  <si>
    <t>количество зрительских мест</t>
  </si>
  <si>
    <t>местный бюджет, иные источники</t>
  </si>
  <si>
    <t xml:space="preserve">Сельский дом культуры-библиотека в сп.Куть-Ях </t>
  </si>
  <si>
    <t xml:space="preserve">количество зрительских мест / тыс. экземпляров книг </t>
  </si>
  <si>
    <t>Указ Президента Российской Федерации от 21.07.2020 № 474 "О национальных целях развития Российской Федерации на период до 2030 года"</t>
  </si>
  <si>
    <t>Департамент культуры и спорта Нефтеюганского района /МКУ "Управление по обеспечению деятельности учреждений культуры и спорта"</t>
  </si>
  <si>
    <t>проверка</t>
  </si>
  <si>
    <t>ВСЕГО</t>
  </si>
  <si>
    <t>ОБ</t>
  </si>
  <si>
    <t>ФБ</t>
  </si>
  <si>
    <t>МБ</t>
  </si>
  <si>
    <t>Утвержденено</t>
  </si>
  <si>
    <t>Расхождения</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</si>
  <si>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(п.1 таблицы 8)    </t>
  </si>
  <si>
    <t>Сумма, тыс. рублей</t>
  </si>
  <si>
    <t xml:space="preserve">Федеральный бюджет </t>
  </si>
  <si>
    <t>Бюджет Ханты-Мансийского автономного округа - Югры</t>
  </si>
  <si>
    <t>Бюджет муниципального образования Нефтеюганский район</t>
  </si>
  <si>
    <t>Иные источники</t>
  </si>
  <si>
    <t>администрации Нефтеюганского района</t>
  </si>
  <si>
    <t>Приложение к постановлению</t>
  </si>
  <si>
    <t>от _____________№  ______________</t>
  </si>
  <si>
    <t>Департамент культуры и спорта Нефтеюганского района/МКУ "Управление капитального строительства и жилищно-коммунального комплекса" ДСиЖКК НР</t>
  </si>
  <si>
    <t>Департамент культуры и спорта Нефтеюганского района/МКУ "Управление по обеспечению деятельности учреждений/ МКУ "Управление по делам администрации Нефтеюганского района"/Департамент финансов Нефтеюганского района/  Администрация городского поселения Пойковский</t>
  </si>
  <si>
    <t>1.</t>
  </si>
  <si>
    <t>2.</t>
  </si>
  <si>
    <t>Заместитель главы района Михалев Владлен Геннадьевич</t>
  </si>
  <si>
    <t>Департамент культуры и спорта Нефтеюганского района / БУ "Центр культуры Нефтеюганского района", БУНР "Межпоселенческая библиотека",  НРМБУ ДО "ДМШ", НРМБУ ДО "ДШИ" им. Г.С.Райшева</t>
  </si>
  <si>
    <t>Департамент строительства и жилищно-коммунального комплекса Нефтеюганского района /МКУ "Управление капитального строительства и жилищно-коммунального комплекса" ДСиЖКК НР</t>
  </si>
  <si>
    <t>Соисполнитель 3 (Администрация Нефтеюганского района /МКУ "Управление по делам администрации Нефтеюганского района")</t>
  </si>
  <si>
    <t>Соисполнитель 2 (Департамент строительства и жилищно-коммунального комплекса Нефтеганского района /МКУ "Управление капитального строительства и жилищно-коммунального комплекса" ДСиЖКК НР)</t>
  </si>
  <si>
    <t>Соисполнитель 1 (Департамент культуры и спорта Нефтеюганского района/ МКУ "Управление по обеспечению деятельности учреждений культуры и спорта")</t>
  </si>
  <si>
    <t>Строительство</t>
  </si>
  <si>
    <t xml:space="preserve">150 мест / 15 000 тыс. экземпляров книг               </t>
  </si>
  <si>
    <r>
      <t>Проект Нефтеюганского района «ПроНаследие" (номер показателя из паспорта (п.2 таблицы 1</t>
    </r>
    <r>
      <rPr>
        <sz val="11"/>
        <color theme="1"/>
        <rFont val="Times New Roman"/>
        <family val="1"/>
        <charset val="204"/>
      </rPr>
      <t>)</t>
    </r>
  </si>
  <si>
    <t>Основное мероприятие "Укрепление материально-технической базы учреждений культуры" (номер показателя из паспорта (п.4,5 таблицы 1)</t>
  </si>
  <si>
    <t xml:space="preserve">Основное мероприятие:  "Реализация муниципального проекта «Модернизация материально-технической базы детских школ искусств (по видам искусств) Нефтеюганского района»"  (п.4,5 таблицы 1)    </t>
  </si>
  <si>
    <r>
      <t>Региональный проект «Творческие люди»  (п.2 таблицы 1</t>
    </r>
    <r>
      <rPr>
        <sz val="11"/>
        <color theme="1"/>
        <rFont val="Times New Roman"/>
        <family val="1"/>
        <charset val="204"/>
      </rPr>
      <t>)</t>
    </r>
  </si>
  <si>
    <t>Основное мероприятие:                          "Развитие художественного образования, обеспечение функционирования  системы персонифицированного финансирования дополнительного образования детей"  (п.2,3 таблицы 1)</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</si>
  <si>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(п.2,3 таблицы 1)</t>
  </si>
  <si>
    <t xml:space="preserve">Основное мероприятие:  "Развитие библиотечного дела"  (п.1,2 таблицы 1) </t>
  </si>
  <si>
    <t>Поддержка добровольческих (волонтерских) объединений в сельской местности, в том числе по реализации социокультурных проектов (п.6 таблицы 1)</t>
  </si>
  <si>
    <t xml:space="preserve">Основное мероприятие:                      "Реализация единой региональной  (государственной) и муниципальной политики в сфере культуры"                                (п.2 таблицы 1)  </t>
  </si>
  <si>
    <t>Основное мероприятие:                      "Муниципальная поддержка одаренных детей и молодежи"                                               (п.3 таблицы 1)</t>
  </si>
  <si>
    <t>3.</t>
  </si>
  <si>
    <t xml:space="preserve">Наименование показателя </t>
  </si>
  <si>
    <t>Основное мероприятие "Региональный проект "Культурная среда" (п.2 таблицы 1)</t>
  </si>
  <si>
    <t>Департамент культуры и спорта Нефтеюганского района / БУНР "Межпоселенческая библиотека" / НРМБУ ДО "ДМШ", НРМБУ ДО "ДШИ" им. Г.С.Райшева</t>
  </si>
  <si>
    <t>Итого</t>
  </si>
  <si>
    <t>средства по Cоглашениям по передаче полномочий**</t>
  </si>
  <si>
    <t>иные  источники</t>
  </si>
  <si>
    <t>Департамент культуры и спорта Нефтеюганского района/</t>
  </si>
  <si>
    <t>МКУ "Управление по обеспечению деятельности учреждений культуры и спорта"</t>
  </si>
  <si>
    <t>1.3.</t>
  </si>
  <si>
    <t>Возможности для самореализации и раскрытия талантов каждого человека</t>
  </si>
  <si>
    <t xml:space="preserve">Указ Президента РФ от 21.07.2020 № 474 «О национальных целях развития Российской Федерации на период до 2030 года».
Национальный проект «Культура»
</t>
  </si>
  <si>
    <t>-</t>
  </si>
  <si>
    <t xml:space="preserve"> 400 мест              </t>
  </si>
  <si>
    <t>2. Департамент строительства и жилищно-коммунального комплекса Нефтеюганского района /Муниципальное казенное учреждение «Управление капитального строительства и жилищно-коммунального комплекса Нефтеюганского района»</t>
  </si>
  <si>
    <t>3. Администрация Нефтеюганского района /Муниципальное казенное учреждение «Управление по делам администрации Нефтеюганского района»</t>
  </si>
  <si>
    <t>4. Департамент финансов Нефтеюганского района/ Администрация городского поселения Пойковский</t>
  </si>
  <si>
    <t>1. Департамент культуры и спорта Нефтеюганского района /Муниципальное казенное учреждение «Управление по обеспечению деятельности учреждений культуры и спорта»</t>
  </si>
  <si>
    <t>Подпрограмма I. Обеспечение прав граждан на доступ к объектам сферы культуры и информационным ресурсам.</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</si>
  <si>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</si>
  <si>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t>
  </si>
  <si>
    <t>Наименование муниципальной программы</t>
  </si>
  <si>
    <t xml:space="preserve">Тип муниципальной программы </t>
  </si>
  <si>
    <t xml:space="preserve">Куратор муниципальной программы </t>
  </si>
  <si>
    <t xml:space="preserve">Ответственный исполнитель муниципальной программы </t>
  </si>
  <si>
    <t>Соисполнители муниципальной программы</t>
  </si>
  <si>
    <t xml:space="preserve">Национальная цель </t>
  </si>
  <si>
    <t xml:space="preserve">Цели муниципальной программы </t>
  </si>
  <si>
    <t xml:space="preserve">Задачи муниципальной программы </t>
  </si>
  <si>
    <t xml:space="preserve">Подпрограммы </t>
  </si>
  <si>
    <t xml:space="preserve">Наименование целевого показателя </t>
  </si>
  <si>
    <t xml:space="preserve">Документ - основание </t>
  </si>
  <si>
    <t xml:space="preserve">Базовое значение </t>
  </si>
  <si>
    <t xml:space="preserve">На момент окончания реализации муниципальной программы </t>
  </si>
  <si>
    <t xml:space="preserve">Ответственный исполнитель/соисполнитель за достижение показателей </t>
  </si>
  <si>
    <t>Целевые показатели муниципальной программы</t>
  </si>
  <si>
    <t xml:space="preserve">Параметры финансового обеспечения муниципальной программы </t>
  </si>
  <si>
    <t xml:space="preserve">Объем налоговых расходов Нефтеюганского района </t>
  </si>
  <si>
    <t>Подпрограмма I «Обеспечение прав граждан на доступ к объектам сферы культуры и информационным ресурсам»</t>
  </si>
  <si>
    <r>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r>
    <r>
      <rPr>
        <b/>
        <sz val="11"/>
        <color theme="1"/>
        <rFont val="Times New Roman"/>
        <family val="1"/>
        <charset val="204"/>
      </rPr>
      <t xml:space="preserve"> </t>
    </r>
  </si>
  <si>
    <t>Сроки реализации муниципальной программы</t>
  </si>
  <si>
    <t>ПОСТАНОВЛЕНИЕ № 2372</t>
  </si>
  <si>
    <t>изменения</t>
  </si>
  <si>
    <t>пояснения</t>
  </si>
  <si>
    <t>уведомление № 37 от 27.01.2022</t>
  </si>
  <si>
    <t>Наказы избирателей</t>
  </si>
  <si>
    <t>б/и</t>
  </si>
  <si>
    <t>по Решению Думы № 761 /остатки прошлого года/</t>
  </si>
  <si>
    <t xml:space="preserve">увед № 146  от  21.04.2022  </t>
  </si>
  <si>
    <t xml:space="preserve">увед № 215  от  29.04.2022  </t>
  </si>
  <si>
    <t>Школы дотации</t>
  </si>
  <si>
    <t>Салым</t>
  </si>
  <si>
    <t>увед № 94 от 10.03.2022</t>
  </si>
  <si>
    <t>увед № 37 от 27.01.2022</t>
  </si>
  <si>
    <t>увед № 146 от  21.04.2022</t>
  </si>
  <si>
    <t>увед № 215 от 29.04.2022</t>
  </si>
  <si>
    <t>передано в Родники</t>
  </si>
  <si>
    <t>увед № 225 от 11.05.2022</t>
  </si>
  <si>
    <t>из МП Спорт</t>
  </si>
  <si>
    <t>увед № 229 от 11.05.2022</t>
  </si>
  <si>
    <t>Наказы округ</t>
  </si>
  <si>
    <t>с.п.Салым</t>
  </si>
  <si>
    <t>дотации</t>
  </si>
  <si>
    <t>увеличение</t>
  </si>
  <si>
    <t>дотации для Родника и поселений</t>
  </si>
  <si>
    <t>увед № --- от 21.06.2022</t>
  </si>
  <si>
    <t>дотации для  поселений</t>
  </si>
  <si>
    <t>(в мп не включена) передадим в июне</t>
  </si>
  <si>
    <t>увед № 93 от 10.03.2022</t>
  </si>
  <si>
    <t>увеличение салым</t>
  </si>
  <si>
    <t>салым</t>
  </si>
  <si>
    <t>увед №  146 от 21.04.2022</t>
  </si>
  <si>
    <t>увед №  94 от 10.03.2022</t>
  </si>
  <si>
    <t>увед №  129 от 24.03.2022</t>
  </si>
  <si>
    <t>увед №  215 от 29.04.2022</t>
  </si>
  <si>
    <t>Увеличение ОБ</t>
  </si>
  <si>
    <t>Увеличение МБ</t>
  </si>
  <si>
    <t>увед № 214 от 29.04.2022</t>
  </si>
  <si>
    <t>должно быть расхождение на</t>
  </si>
  <si>
    <t>отдадим в бюджет для поселений (ДОТАЦИЯ)</t>
  </si>
  <si>
    <t>по УРМ</t>
  </si>
  <si>
    <t>по Решению Думы</t>
  </si>
  <si>
    <t>Дотации</t>
  </si>
  <si>
    <t>РД</t>
  </si>
  <si>
    <t>у нас в МП</t>
  </si>
  <si>
    <t>расхождения</t>
  </si>
  <si>
    <t>заберут в бюджет</t>
  </si>
  <si>
    <t xml:space="preserve">уменьшение ИИ </t>
  </si>
  <si>
    <t>уменьшение в связи с деф</t>
  </si>
  <si>
    <t>увеличение ИИ (ЗП и налоги)</t>
  </si>
  <si>
    <t>2024-2026 годы</t>
  </si>
  <si>
    <t>2023-2026 годы и на период до 2030 года</t>
  </si>
  <si>
    <t>2027-2030</t>
  </si>
  <si>
    <t>2025 год</t>
  </si>
  <si>
    <t>2026 год</t>
  </si>
  <si>
    <t>2027-2030 годы</t>
  </si>
  <si>
    <t>Региональный проект "Творческие люди", срок реализации (01.01.2023 - 31.12.2024)</t>
  </si>
  <si>
    <t>Региональный проект "Культурная среда", срок реализации (01.01.2023 - 31.12.2023)</t>
  </si>
  <si>
    <t>Портфель проектов "Культура", срок реализации (01.01.2023 - 31.12.2024):</t>
  </si>
  <si>
    <t>Проект муниципального образования  «Культурное наследие» (01.01.2023-31.12.2025)</t>
  </si>
  <si>
    <t>Паспорт 
муниципальной программы Нефтеюганского района</t>
  </si>
  <si>
    <t>Развитие культуры Нефтеюганского района</t>
  </si>
  <si>
    <t>ДКиС НР</t>
  </si>
  <si>
    <t>Департамент культуры и спорта Нефтеюганского района (МКУ "Управление по обеспечению деятельности учреждений культуры и спорта")</t>
  </si>
  <si>
    <t>2025 г.</t>
  </si>
  <si>
    <t>2026 г.</t>
  </si>
  <si>
    <t>Количество волонтеров, вовлеченных в программу «Волонтеры культуры», человек (нарастающим итогом)</t>
  </si>
  <si>
    <t>Культурно-образовательный комплекс в пгт. Пойковский (1 очередь)*</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</si>
  <si>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</si>
  <si>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</si>
  <si>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Остаток стоимости на 01.01.2023</t>
  </si>
  <si>
    <t xml:space="preserve">Перечень реализуемых объектов на 2023 год и на плановый период 2024 и 2025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
</t>
  </si>
  <si>
    <t>4.</t>
  </si>
  <si>
    <t>5.</t>
  </si>
  <si>
    <t>6.</t>
  </si>
  <si>
    <t>Количество созданных (реконструированных) и отремонтированных объектов организаций культуры, единиц (нарастающим итогом)</t>
  </si>
  <si>
    <t>Культурно-образовательный комплекс в пгт. Пойковский 
(1 очередь)</t>
  </si>
  <si>
    <t>2.6.</t>
  </si>
  <si>
    <t>2.7.</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</si>
  <si>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(показатель № 5 таблицы 8)    </t>
  </si>
  <si>
    <t>2.8.</t>
  </si>
  <si>
    <t>Приобретение музыкальных инструментов</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</si>
  <si>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</si>
  <si>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 и архивного дела»</t>
  </si>
  <si>
    <t>7.</t>
  </si>
  <si>
    <t>Основное мероприятие "Укрепление материально-технической базы учреждений культуры" (показатели № 1, 2 таблицы 8)</t>
  </si>
  <si>
    <t>Департамент финансов Нефтеюганского района</t>
  </si>
  <si>
    <t>Соисполнитель 1. Департамент строительства и жилищно-коммунального комплекса Нефтеюганского района</t>
  </si>
  <si>
    <t xml:space="preserve">Департамент строительства и жилищно-коммунального комплекса Нефтеюганского района </t>
  </si>
  <si>
    <t>Количество архивных дел особо ценных и наиболее востребованных, включая аудио и видео, переведенных в электронный вид, хранящихся в архиве Нефтеюганского района, единиц хранения (ежегодно)</t>
  </si>
  <si>
    <t>Доля средств бюджета муниципального образования, выделяемых негосударственным организациям, в том числе социально ориентированным некоммерческим организациям, на предоставление услуг (работ), в общем объеме средств муниципального бюджета, выделяемых на предоставление услуг (работ) в сфере культуры, потенциально возможных к передаче (в %) (ежегодно)</t>
  </si>
  <si>
    <t>Количество обращений к цифровым ресурсам культуры, единиц (ежегодно)</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</si>
  <si>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 до 2024 года, в соответствии с декомпозицией Регионального проекта «Творческие люди»)</t>
  </si>
  <si>
    <t>2027- 2030</t>
  </si>
  <si>
    <t>Администрация Нефтеюганского района (отдел по делам архивов)</t>
  </si>
  <si>
    <t>Соисполнитель 3. Администрация Нефтеюганского района (отдел по делам архивов)</t>
  </si>
  <si>
    <t xml:space="preserve">Региональный проект "Культурная среда" 
</t>
  </si>
  <si>
    <t xml:space="preserve">Основное мероприятие "Укрепление материально-технической базы учреждений культуры"
</t>
  </si>
  <si>
    <t xml:space="preserve">Региональный проект "Творческие люди" </t>
  </si>
  <si>
    <t xml:space="preserve">Проект Нефтеюганского района "Мультиформатный культурно-образовательный проект "Культурное наследие"" </t>
  </si>
  <si>
    <t>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</si>
  <si>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2023-2025 годы</t>
  </si>
  <si>
    <t>Сведения о прогнозных и фактически исполненных условных и безусловных обязательствах, возникающих при исполнении концессионного соглашения</t>
  </si>
  <si>
    <t>Сведения о фактически исполненных обязательствах с 01.02.2023 год</t>
  </si>
  <si>
    <t xml:space="preserve">Основное мероприятие "Поддержка одаренных детей и молодежи, развитие художественного образования" </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</si>
  <si>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t>
  </si>
  <si>
    <t xml:space="preserve">Основное мероприятие "Развитие библиотечного дела"    </t>
  </si>
  <si>
    <t>Основное мероприятие "Развитие музейного дела"</t>
  </si>
  <si>
    <t>Основное мероприятие"Поддержка добровольческих (волонтерских) объединений в сельской местности, в том числе по реализации социокультурных проектов"</t>
  </si>
  <si>
    <t xml:space="preserve">Основное мероприятие "Реализация единой региональной  (государственной) и муниципальной политики в сфере культуры"   </t>
  </si>
  <si>
    <t>Основное мероприятие "Развитие архивного дела"</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</si>
  <si>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 (показатель № 6 таблицы 8)</t>
  </si>
  <si>
    <t>Основное мероприятие 
"Развитие архивного дела" 
(показатель № 7 таблицы 8)</t>
  </si>
  <si>
    <t>Основное мероприятие 
"Развитие библиотечного дела" (показатели № 1 таблицы 1, № 3 таблицы 8)</t>
  </si>
  <si>
    <t>Основное мероприятие 
"Развитие музейного дела" (показатели № 1 таблицы 1, № 3 таблицы 8)</t>
  </si>
  <si>
    <t>Основное мероприятие 
"Реализация единой региональной  (государственной) и муниципальной политики в сфере культуры" (показатель № 1 таблицы 1)</t>
  </si>
  <si>
    <t>Региональный проект "Культурная среда" (показатель № 2 таблицы 8)</t>
  </si>
  <si>
    <t xml:space="preserve">Департамент культуры и спорта Нефтеюганского района, Департамент строительства и жилищно-коммунального комплекса Нефтеюганского района
</t>
  </si>
  <si>
    <t xml:space="preserve">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 </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</si>
  <si>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(показатели № 1 таблицы 1, № 3 таблицы 8)</t>
  </si>
  <si>
    <t>Структурный элемент (основное мероприятие) муниципальной программы</t>
  </si>
  <si>
    <t>Ответственный исполнитель / соисполнитель</t>
  </si>
  <si>
    <t>Финансовые затраты на реализацию (тыс.  рублей)</t>
  </si>
  <si>
    <t>Департамент культуры и спорта Нефтеюганского района, Администрация Нефтеюганского района (Управляюший делами)</t>
  </si>
  <si>
    <t>Соисполнитель 2. Администрация Нефтеюганского района (Управляющий делами)</t>
  </si>
  <si>
    <t>Реализация мероприятий по организации деятельности муниципального музея .</t>
  </si>
  <si>
    <t>Обеспечение  деятельности  Департамента культуры и спорта Нефтеюганского района и подведомственных департаменту учреждений</t>
  </si>
  <si>
    <t xml:space="preserve">Обеспечение деятельности и создание условий для предоставления муниципальных услуг (работ), оказываемых  отделом по делам архивов.
</t>
  </si>
  <si>
    <t xml:space="preserve">Организация тренингов, мастер - классов, проведение ежегодного районного конкурса волонтеров культуры "ДоброТвОрец: Действуй-Твори-Объединяй" направленных на развитие и поддержку добровольчества (волонтерства)
</t>
  </si>
  <si>
    <t xml:space="preserve">Прохождение курсов по повышение квалификации творческих и управленческих кадров в сфере культуры на базе Центров непрерывного образования. 
</t>
  </si>
  <si>
    <t xml:space="preserve">Развитие и  модернизация материально-технической базы учреждений, строительство в сфере культуры.
</t>
  </si>
  <si>
    <t>Организация деятельности образовательных учреждений сферы культуры. Выявление, поддержка и сопровождение одаренных детей и их дальнейшего развития.</t>
  </si>
  <si>
    <t>Обеспечениюе деятельности учреждения культурно-досугового типа, развитие народного творчества и традиционной культуры, трансляция знаний о народных художественных промыслах и ремеслах.</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</si>
  <si>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(с изменения от  18.03.2022 № 390-па ).
</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</si>
  <si>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(с  изменениями от 01.04.2021 №503-па-нпа).
</t>
  </si>
  <si>
    <t>Администрация Нефтеюганского района (Управляющий делами)</t>
  </si>
  <si>
    <t>Организация профориентационных встречи с преподавателями ВУЗов.</t>
  </si>
  <si>
    <t>Основное мероприятие  "Поддержка одаренных детей и молодежи, развитие художественного образования" 
(показатели № 1 таблицы 1, № 3 таблицы 8)</t>
  </si>
  <si>
    <t>Проект Нефтеюганского района "Мультиформатный культурно-образовательный проект "Культурное наследие"" (показатель № 1 таблицы 1)</t>
  </si>
  <si>
    <t>Региональный проект  "Творческие люди" (показатель № 4 таблицы 8)</t>
  </si>
  <si>
    <t xml:space="preserve">150 /15 000 </t>
  </si>
  <si>
    <t>Количество организаций культуры, получивших современное оборудование, единиц (нарастающим итогом)</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</si>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</sst>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1" formatCode="_-* #,##0\ _₽_-;\-* #,##0\ _₽_-;_-* &quot;-&quot;\ _₽_-;_-@_-"/>
    <numFmt numFmtId="43" formatCode="_-* #,##0.00\ _₽_-;\-* #,##0.00\ _₽_-;_-* &quot;-&quot;??\ _₽_-;_-@_-"/>
    <numFmt numFmtId="164" formatCode="_-* #,##0.00000\ _₽_-;\-* #,##0.00000\ _₽_-;_-* &quot;-&quot;??\ _₽_-;_-@_-"/>
    <numFmt numFmtId="165" formatCode="_-* #,##0.00_р_._-;\-* #,##0.00_р_._-;_-* &quot;-&quot;??_р_._-;_-@_-"/>
    <numFmt numFmtId="166" formatCode="_-* #,##0\ _₽_-;\-* #,##0\ _₽_-;_-* &quot;-&quot;??\ _₽_-;_-@_-"/>
    <numFmt numFmtId="167" formatCode="_-* #,##0.00000_р_._-;\-* #,##0.00000_р_._-;_-* &quot;-&quot;??_р_._-;_-@_-"/>
    <numFmt numFmtId="168" formatCode="_-* #,##0.00000\ _₽_-;\-* #,##0.00000\ _₽_-;_-* &quot;-&quot;?????\ _₽_-;_-@_-"/>
    <numFmt numFmtId="169" formatCode="#,##0.00000_ ;[Red]\-#,##0.00000\ "/>
    <numFmt numFmtId="170" formatCode="_-* #,##0.0000000000_р_._-;\-* #,##0.0000000000_р_._-;_-* &quot;-&quot;??_р_._-;_-@_-"/>
    <numFmt numFmtId="171" formatCode="_-* #,##0.00000000000_р_._-;\-* #,##0.00000000000_р_._-;_-* &quot;-&quot;??_р_._-;_-@_-"/>
    <numFmt numFmtId="172" formatCode="_-* #,##0.000000000_р_._-;\-* #,##0.000000000_р_._-;_-* &quot;-&quot;??_р_._-;_-@_-"/>
    <numFmt numFmtId="173" formatCode="_-* #,##0.00000000000\ _₽_-;\-* #,##0.00000000000\ _₽_-;_-* &quot;-&quot;???????????\ _₽_-;_-@_-"/>
    <numFmt numFmtId="174" formatCode="_-* #,##0.000\ _₽_-;\-* #,##0.000\ _₽_-;_-* &quot;-&quot;??\ _₽_-;_-@_-"/>
    <numFmt numFmtId="175" formatCode="_-* #,##0.000000\ _₽_-;\-* #,##0.000000\ _₽_-;_-* &quot;-&quot;??\ _₽_-;_-@_-"/>
  </numFmts>
  <fonts count="4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0"/>
      <color theme="1"/>
      <name val="Times New Roman"/>
      <family val="1"/>
      <charset val="204"/>
    </font>
    <font>
      <sz val="11"/>
      <color theme="1"/>
      <name val="Times New Roman"/>
      <family val="1"/>
      <charset val="204"/>
    </font>
    <font>
      <sz val="11"/>
      <color rgb="FF000000"/>
      <name val="Times New Roman"/>
      <family val="1"/>
      <charset val="204"/>
    </font>
    <font>
      <b/>
      <sz val="10"/>
      <color theme="1"/>
      <name val="Times New Roman"/>
      <family val="1"/>
      <charset val="204"/>
    </font>
    <font>
      <b/>
      <sz val="11"/>
      <color theme="1"/>
      <name val="Times New Roman"/>
      <family val="1"/>
      <charset val="204"/>
    </font>
    <font>
      <sz val="11"/>
      <color rgb="FFFF0000"/>
      <name val="Calibri"/>
      <family val="2"/>
      <scheme val="minor"/>
    </font>
    <font>
      <b/>
      <sz val="12"/>
      <color theme="1"/>
      <name val="Times New Roman"/>
      <family val="1"/>
      <charset val="204"/>
    </font>
    <font>
      <sz val="12"/>
      <color theme="1"/>
      <name val="Times New Roman"/>
      <family val="1"/>
      <charset val="204"/>
    </font>
    <font>
      <b/>
      <sz val="15"/>
      <color theme="1"/>
      <name val="Times New Roman"/>
      <family val="1"/>
      <charset val="204"/>
    </font>
    <font>
      <sz val="8"/>
      <color theme="1"/>
      <name val="Times New Roman"/>
      <family val="1"/>
      <charset val="204"/>
    </font>
    <font>
      <b/>
      <sz val="11"/>
      <color rgb="FF000000"/>
      <name val="Times New Roman"/>
      <family val="1"/>
      <charset val="204"/>
    </font>
    <font>
      <sz val="9"/>
      <color rgb="FF000000"/>
      <name val="Times New Roman"/>
      <family val="1"/>
      <charset val="204"/>
    </font>
    <font>
      <sz val="9"/>
      <color theme="1"/>
      <name val="Calibri"/>
      <family val="2"/>
      <scheme val="minor"/>
    </font>
    <font>
      <sz val="11"/>
      <color indexed="8"/>
      <name val="Calibri"/>
      <family val="2"/>
      <charset val="204"/>
    </font>
    <font>
      <sz val="10"/>
      <name val="Times New Roman"/>
      <family val="1"/>
      <charset val="204"/>
    </font>
    <font>
      <b/>
      <sz val="10"/>
      <name val="Times New Roman"/>
      <family val="1"/>
      <charset val="204"/>
    </font>
    <font>
      <b/>
      <sz val="11"/>
      <color rgb="FFFF0000"/>
      <name val="Calibri"/>
      <family val="2"/>
      <charset val="204"/>
      <scheme val="minor"/>
    </font>
    <font>
      <sz val="11"/>
      <name val="Times New Roman"/>
      <family val="1"/>
      <charset val="204"/>
    </font>
    <font>
      <sz val="11"/>
      <color rgb="FFFF0000"/>
      <name val="Calibri"/>
      <family val="2"/>
      <charset val="204"/>
      <scheme val="minor"/>
    </font>
    <font>
      <sz val="11"/>
      <name val="Calibri"/>
      <family val="2"/>
      <scheme val="minor"/>
    </font>
    <font>
      <b/>
      <sz val="12"/>
      <name val="Times New Roman"/>
      <family val="1"/>
      <charset val="204"/>
    </font>
    <font>
      <b/>
      <sz val="14"/>
      <color theme="1"/>
      <name val="Calibri"/>
      <family val="2"/>
      <charset val="204"/>
      <scheme val="minor"/>
    </font>
    <font>
      <sz val="9"/>
      <color indexed="81"/>
      <name val="Tahoma"/>
      <family val="2"/>
      <charset val="204"/>
    </font>
    <font>
      <b/>
      <sz val="9"/>
      <color indexed="81"/>
      <name val="Tahoma"/>
      <family val="2"/>
      <charset val="204"/>
    </font>
    <font>
      <sz val="11"/>
      <color rgb="FF0000FF"/>
      <name val="Calibri"/>
      <family val="2"/>
      <scheme val="minor"/>
    </font>
    <font>
      <sz val="11"/>
      <color rgb="FF0000FF"/>
      <name val="Times New Roman"/>
      <family val="1"/>
      <charset val="204"/>
    </font>
    <font>
      <b/>
      <sz val="10"/>
      <color indexed="81"/>
      <name val="Tahoma"/>
      <family val="2"/>
      <charset val="204"/>
    </font>
    <font>
      <b/>
      <sz val="12"/>
      <color indexed="81"/>
      <name val="Tahoma"/>
      <family val="2"/>
      <charset val="204"/>
    </font>
    <font>
      <b/>
      <u/>
      <sz val="10"/>
      <color indexed="81"/>
      <name val="Tahoma"/>
      <family val="2"/>
      <charset val="204"/>
    </font>
    <font>
      <b/>
      <u/>
      <sz val="9"/>
      <color indexed="81"/>
      <name val="Tahoma"/>
      <family val="2"/>
      <charset val="204"/>
    </font>
    <font>
      <sz val="9"/>
      <name val="Times New Roman"/>
      <family val="1"/>
      <charset val="204"/>
    </font>
    <font>
      <b/>
      <sz val="11"/>
      <name val="Times New Roman"/>
      <family val="1"/>
      <charset val="204"/>
    </font>
    <font>
      <sz val="9"/>
      <color rgb="FF0000FF"/>
      <name val="Times New Roman"/>
      <family val="1"/>
      <charset val="204"/>
    </font>
    <font>
      <b/>
      <sz val="11"/>
      <color rgb="FF0000FF"/>
      <name val="Times New Roman"/>
      <family val="1"/>
      <charset val="204"/>
    </font>
    <font>
      <sz val="10"/>
      <color rgb="FF0000FF"/>
      <name val="Times New Roman"/>
      <family val="1"/>
      <charset val="204"/>
    </font>
    <font>
      <b/>
      <sz val="11"/>
      <color rgb="FF0000FF"/>
      <name val="Calibri"/>
      <family val="2"/>
      <charset val="204"/>
      <scheme val="minor"/>
    </font>
    <font>
      <sz val="11"/>
      <color rgb="FF0000FF"/>
      <name val="Calibri"/>
      <family val="2"/>
      <charset val="204"/>
      <scheme val="minor"/>
    </font>
    <font>
      <sz val="10"/>
      <color theme="1"/>
      <name val="Calibri"/>
      <family val="2"/>
      <scheme val="minor"/>
    </font>
    <font>
      <sz val="22"/>
      <color rgb="FF0000FF"/>
      <name val="Calibri"/>
      <family val="2"/>
      <scheme val="minor"/>
    </font>
    <font>
      <sz val="10"/>
      <color indexed="81"/>
      <name val="Tahoma"/>
      <family val="2"/>
      <charset val="204"/>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CCFF"/>
        <bgColor indexed="64"/>
      </patternFill>
    </fill>
  </fills>
  <borders count="2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5">
    <xf numFmtId="0" fontId="0" fillId="0" borderId="0"/>
    <xf numFmtId="43" fontId="8" fillId="0" borderId="0" applyFont="0" applyFill="0" applyBorder="0" applyAlignment="0" applyProtection="0"/>
    <xf numFmtId="0" fontId="6" fillId="0" borderId="0"/>
    <xf numFmtId="0" fontId="6" fillId="0" borderId="0"/>
    <xf numFmtId="0" fontId="8" fillId="0" borderId="0"/>
    <xf numFmtId="0" fontId="6" fillId="0" borderId="0"/>
    <xf numFmtId="165" fontId="22" fillId="0" borderId="0" applyFont="0" applyFill="0" applyBorder="0" applyAlignment="0" applyProtection="0"/>
    <xf numFmtId="165" fontId="22" fillId="0" borderId="0" applyFont="0" applyFill="0" applyBorder="0" applyAlignment="0" applyProtection="0"/>
    <xf numFmtId="165" fontId="6" fillId="0" borderId="0" applyFont="0" applyFill="0" applyBorder="0" applyAlignment="0" applyProtection="0"/>
    <xf numFmtId="165" fontId="22"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0" fontId="8" fillId="0" borderId="0"/>
    <xf numFmtId="43" fontId="8" fillId="0" borderId="0" applyFont="0" applyFill="0" applyBorder="0" applyAlignment="0" applyProtection="0"/>
    <xf numFmtId="0" fontId="5" fillId="0" borderId="0"/>
    <xf numFmtId="0" fontId="4" fillId="0" borderId="0"/>
    <xf numFmtId="0" fontId="4" fillId="0" borderId="0"/>
    <xf numFmtId="0" fontId="4" fillId="0" borderId="0"/>
    <xf numFmtId="165" fontId="4" fillId="0" borderId="0" applyFont="0" applyFill="0" applyBorder="0" applyAlignment="0" applyProtection="0"/>
    <xf numFmtId="165" fontId="4" fillId="0" borderId="0" applyFont="0" applyFill="0" applyBorder="0" applyAlignment="0" applyProtection="0"/>
    <xf numFmtId="43" fontId="4" fillId="0" borderId="0" applyFont="0" applyFill="0" applyBorder="0" applyAlignment="0" applyProtection="0"/>
    <xf numFmtId="0" fontId="4" fillId="0" borderId="0"/>
    <xf numFmtId="0" fontId="3" fillId="0" borderId="0"/>
    <xf numFmtId="0" fontId="2" fillId="0" borderId="0"/>
    <xf numFmtId="0" fontId="1" fillId="0" borderId="0"/>
  </cellStyleXfs>
  <cellXfs count="551">
    <xf numFmtId="0" fontId="0" fillId="0" borderId="0" xfId="0"/>
    <xf numFmtId="0" fontId="9" fillId="0" borderId="1" xfId="0" applyFont="1" applyBorder="1" applyAlignment="1">
      <alignment vertical="center" wrapText="1"/>
    </xf>
    <xf numFmtId="0" fontId="7" fillId="0" borderId="0" xfId="0" applyFont="1"/>
    <xf numFmtId="0" fontId="10" fillId="0" borderId="0" xfId="0" applyFont="1" applyAlignment="1">
      <alignment horizontal="justify" vertical="center"/>
    </xf>
    <xf numFmtId="0" fontId="13" fillId="0" borderId="0" xfId="0" applyFont="1" applyAlignment="1">
      <alignment horizontal="right" vertical="center"/>
    </xf>
    <xf numFmtId="0" fontId="0" fillId="0" borderId="0" xfId="0" applyAlignment="1">
      <alignment horizontal="center" vertical="center"/>
    </xf>
    <xf numFmtId="0" fontId="13" fillId="0" borderId="0" xfId="0" applyFont="1" applyAlignment="1">
      <alignment horizontal="center" vertical="center"/>
    </xf>
    <xf numFmtId="0" fontId="9" fillId="0" borderId="0" xfId="0" applyFont="1" applyAlignment="1">
      <alignment vertical="center" wrapText="1"/>
    </xf>
    <xf numFmtId="0" fontId="17" fillId="0" borderId="0" xfId="0" applyFont="1" applyAlignment="1">
      <alignment horizontal="justify" vertical="center"/>
    </xf>
    <xf numFmtId="0" fontId="10" fillId="0" borderId="0" xfId="0" applyFont="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10" fillId="0" borderId="0" xfId="0" applyFont="1" applyAlignment="1">
      <alignment horizontal="right" vertical="center"/>
    </xf>
    <xf numFmtId="0" fontId="10" fillId="0" borderId="1" xfId="0" applyFont="1" applyBorder="1" applyAlignment="1">
      <alignment horizontal="center" vertical="center" wrapText="1"/>
    </xf>
    <xf numFmtId="0" fontId="0" fillId="0" borderId="0" xfId="0" applyAlignment="1">
      <alignment vertical="center"/>
    </xf>
    <xf numFmtId="0" fontId="18" fillId="0" borderId="1" xfId="0" applyFont="1" applyBorder="1" applyAlignment="1">
      <alignment horizontal="center" vertical="center" wrapText="1"/>
    </xf>
    <xf numFmtId="0" fontId="0" fillId="0" borderId="0" xfId="0" applyAlignment="1">
      <alignment vertical="center" wrapText="1"/>
    </xf>
    <xf numFmtId="0" fontId="10"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xf>
    <xf numFmtId="0" fontId="11" fillId="0" borderId="1" xfId="0" applyFont="1" applyBorder="1" applyAlignment="1">
      <alignment horizontal="left" vertical="center" wrapText="1"/>
    </xf>
    <xf numFmtId="0" fontId="0" fillId="0" borderId="1" xfId="0" applyBorder="1" applyAlignment="1">
      <alignment vertical="center" wrapText="1"/>
    </xf>
    <xf numFmtId="0" fontId="11" fillId="0" borderId="1" xfId="0" applyFont="1" applyBorder="1" applyAlignment="1">
      <alignment horizontal="center" vertical="center" wrapText="1"/>
    </xf>
    <xf numFmtId="43" fontId="11" fillId="0" borderId="1" xfId="1" applyFont="1" applyBorder="1" applyAlignment="1">
      <alignment horizontal="center" vertical="center" wrapText="1"/>
    </xf>
    <xf numFmtId="0" fontId="0" fillId="0" borderId="1" xfId="0" applyBorder="1" applyAlignment="1">
      <alignment vertical="center"/>
    </xf>
    <xf numFmtId="0" fontId="12" fillId="0" borderId="0" xfId="0" applyFont="1" applyAlignment="1">
      <alignment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wrapText="1"/>
    </xf>
    <xf numFmtId="167" fontId="26" fillId="2" borderId="1" xfId="3" applyNumberFormat="1" applyFont="1" applyFill="1" applyBorder="1" applyAlignment="1">
      <alignment horizontal="center" vertical="center" wrapText="1"/>
    </xf>
    <xf numFmtId="164" fontId="11" fillId="2" borderId="5" xfId="1" applyNumberFormat="1" applyFont="1" applyFill="1" applyBorder="1" applyAlignment="1">
      <alignment horizontal="justify" vertical="center"/>
    </xf>
    <xf numFmtId="0" fontId="0" fillId="2" borderId="0" xfId="0" applyFill="1" applyAlignment="1">
      <alignment horizontal="center"/>
    </xf>
    <xf numFmtId="0" fontId="0" fillId="2" borderId="0" xfId="0" applyFill="1" applyAlignment="1">
      <alignment horizontal="left"/>
    </xf>
    <xf numFmtId="0" fontId="0" fillId="2" borderId="0" xfId="0" applyFill="1"/>
    <xf numFmtId="0" fontId="16" fillId="2" borderId="0" xfId="0" applyFont="1" applyFill="1" applyAlignment="1">
      <alignment horizontal="right" vertical="center"/>
    </xf>
    <xf numFmtId="0" fontId="16" fillId="2" borderId="0" xfId="0" applyFont="1" applyFill="1" applyAlignment="1">
      <alignment horizontal="center" vertical="center"/>
    </xf>
    <xf numFmtId="0" fontId="20" fillId="2" borderId="1" xfId="0" applyFont="1" applyFill="1" applyBorder="1" applyAlignment="1">
      <alignment horizontal="center" vertical="center"/>
    </xf>
    <xf numFmtId="0" fontId="20" fillId="2" borderId="1" xfId="0" applyFont="1" applyFill="1" applyBorder="1" applyAlignment="1">
      <alignment horizontal="left" vertical="center"/>
    </xf>
    <xf numFmtId="0" fontId="21" fillId="2" borderId="0" xfId="0" applyFont="1" applyFill="1"/>
    <xf numFmtId="164" fontId="19" fillId="2" borderId="1" xfId="1" applyNumberFormat="1" applyFont="1" applyFill="1" applyBorder="1" applyAlignment="1">
      <alignment horizontal="justify" vertical="center"/>
    </xf>
    <xf numFmtId="164" fontId="11" fillId="2" borderId="1" xfId="1" applyNumberFormat="1" applyFont="1" applyFill="1" applyBorder="1" applyAlignment="1">
      <alignment horizontal="justify" vertical="center"/>
    </xf>
    <xf numFmtId="0" fontId="7" fillId="2" borderId="0" xfId="0" applyFont="1" applyFill="1"/>
    <xf numFmtId="167" fontId="26" fillId="2" borderId="14" xfId="3" applyNumberFormat="1" applyFont="1" applyFill="1" applyBorder="1" applyAlignment="1">
      <alignment horizontal="center" vertical="center" wrapText="1"/>
    </xf>
    <xf numFmtId="167" fontId="26" fillId="2" borderId="4" xfId="3" applyNumberFormat="1" applyFont="1" applyFill="1" applyBorder="1" applyAlignment="1">
      <alignment horizontal="center" vertical="center" wrapText="1"/>
    </xf>
    <xf numFmtId="167" fontId="26" fillId="2" borderId="11" xfId="3" applyNumberFormat="1" applyFont="1" applyFill="1" applyBorder="1" applyAlignment="1">
      <alignment horizontal="center" vertical="center" wrapText="1"/>
    </xf>
    <xf numFmtId="164" fontId="26" fillId="2" borderId="1" xfId="1" applyNumberFormat="1" applyFont="1" applyFill="1" applyBorder="1" applyAlignment="1">
      <alignment horizontal="justify" vertical="center"/>
    </xf>
    <xf numFmtId="164" fontId="11" fillId="2" borderId="4" xfId="1" applyNumberFormat="1" applyFont="1" applyFill="1" applyBorder="1" applyAlignment="1">
      <alignment horizontal="justify" vertical="center"/>
    </xf>
    <xf numFmtId="164" fontId="11" fillId="2" borderId="14" xfId="1" applyNumberFormat="1" applyFont="1" applyFill="1" applyBorder="1" applyAlignment="1">
      <alignment horizontal="justify" vertical="center"/>
    </xf>
    <xf numFmtId="167" fontId="26" fillId="2" borderId="5" xfId="3" applyNumberFormat="1" applyFont="1" applyFill="1" applyBorder="1" applyAlignment="1">
      <alignment horizontal="center" vertical="center" wrapText="1"/>
    </xf>
    <xf numFmtId="164" fontId="11" fillId="2" borderId="1" xfId="1" applyNumberFormat="1" applyFont="1" applyFill="1" applyBorder="1" applyAlignment="1">
      <alignment horizontal="justify" vertical="center" wrapText="1"/>
    </xf>
    <xf numFmtId="164" fontId="11" fillId="2" borderId="1" xfId="1" applyNumberFormat="1" applyFont="1" applyFill="1" applyBorder="1" applyAlignment="1">
      <alignment horizontal="left" vertical="center" wrapText="1"/>
    </xf>
    <xf numFmtId="164" fontId="11" fillId="2" borderId="1" xfId="0" applyNumberFormat="1" applyFont="1" applyFill="1" applyBorder="1" applyAlignment="1">
      <alignment horizontal="justify" vertical="center" wrapText="1"/>
    </xf>
    <xf numFmtId="0" fontId="11" fillId="2" borderId="1" xfId="0" applyFont="1" applyFill="1" applyBorder="1" applyAlignment="1">
      <alignment horizontal="justify" vertical="center" wrapText="1"/>
    </xf>
    <xf numFmtId="164" fontId="9" fillId="2" borderId="1" xfId="1" applyNumberFormat="1" applyFont="1" applyFill="1" applyBorder="1" applyAlignment="1">
      <alignment vertical="center" wrapText="1"/>
    </xf>
    <xf numFmtId="168" fontId="11" fillId="2" borderId="1" xfId="1" applyNumberFormat="1" applyFont="1" applyFill="1" applyBorder="1" applyAlignment="1">
      <alignment horizontal="justify" vertical="center" wrapText="1"/>
    </xf>
    <xf numFmtId="0" fontId="9" fillId="2" borderId="0" xfId="0" applyFont="1" applyFill="1" applyAlignment="1">
      <alignment horizontal="center"/>
    </xf>
    <xf numFmtId="0" fontId="9" fillId="2" borderId="0" xfId="0" applyFont="1" applyFill="1" applyAlignment="1">
      <alignment horizontal="left"/>
    </xf>
    <xf numFmtId="0" fontId="9" fillId="2" borderId="0" xfId="0" applyFont="1" applyFill="1"/>
    <xf numFmtId="168" fontId="0" fillId="2" borderId="0" xfId="0" applyNumberFormat="1" applyFill="1"/>
    <xf numFmtId="168" fontId="7" fillId="2" borderId="0" xfId="0" applyNumberFormat="1" applyFont="1" applyFill="1"/>
    <xf numFmtId="168" fontId="25" fillId="2" borderId="0" xfId="0" applyNumberFormat="1" applyFont="1" applyFill="1"/>
    <xf numFmtId="168" fontId="27" fillId="2" borderId="0" xfId="0" applyNumberFormat="1" applyFont="1" applyFill="1"/>
    <xf numFmtId="0" fontId="27" fillId="2" borderId="0" xfId="0" applyFont="1" applyFill="1"/>
    <xf numFmtId="0" fontId="26" fillId="2" borderId="1" xfId="0" applyFont="1" applyFill="1" applyBorder="1" applyAlignment="1">
      <alignment horizontal="left" vertical="center" wrapText="1"/>
    </xf>
    <xf numFmtId="0" fontId="28" fillId="2" borderId="0" xfId="0" applyFont="1" applyFill="1"/>
    <xf numFmtId="0" fontId="11" fillId="0" borderId="1" xfId="0" applyFont="1" applyBorder="1" applyAlignment="1">
      <alignment horizontal="center" vertical="center" wrapText="1"/>
    </xf>
    <xf numFmtId="0" fontId="29" fillId="2" borderId="1" xfId="3" applyFont="1" applyFill="1" applyBorder="1" applyAlignment="1">
      <alignment horizontal="left" vertical="center" wrapText="1"/>
    </xf>
    <xf numFmtId="0" fontId="29" fillId="2" borderId="1" xfId="3" applyFont="1" applyFill="1" applyBorder="1" applyAlignment="1">
      <alignment horizontal="center" vertical="center" wrapText="1"/>
    </xf>
    <xf numFmtId="0" fontId="29" fillId="2" borderId="1" xfId="3" applyFont="1" applyFill="1" applyBorder="1" applyAlignment="1">
      <alignment vertical="center" wrapText="1"/>
    </xf>
    <xf numFmtId="0" fontId="10" fillId="0" borderId="0" xfId="0" applyFont="1"/>
    <xf numFmtId="0" fontId="28" fillId="0" borderId="0" xfId="0" applyFont="1"/>
    <xf numFmtId="41" fontId="10" fillId="0" borderId="1" xfId="0" applyNumberFormat="1" applyFont="1" applyBorder="1" applyAlignment="1">
      <alignment vertical="center" wrapText="1"/>
    </xf>
    <xf numFmtId="41" fontId="10" fillId="0" borderId="1" xfId="1" applyNumberFormat="1" applyFont="1" applyBorder="1" applyAlignment="1">
      <alignment vertical="center" wrapText="1"/>
    </xf>
    <xf numFmtId="164" fontId="10" fillId="2" borderId="1" xfId="1" applyNumberFormat="1" applyFont="1" applyFill="1" applyBorder="1" applyAlignment="1">
      <alignment vertical="center"/>
    </xf>
    <xf numFmtId="164" fontId="11" fillId="2" borderId="2" xfId="1" applyNumberFormat="1" applyFont="1" applyFill="1" applyBorder="1" applyAlignment="1">
      <alignment horizontal="justify" vertical="center"/>
    </xf>
    <xf numFmtId="164" fontId="11" fillId="2" borderId="11" xfId="1" applyNumberFormat="1" applyFont="1" applyFill="1" applyBorder="1" applyAlignment="1">
      <alignment horizontal="justify" vertical="center"/>
    </xf>
    <xf numFmtId="0" fontId="16" fillId="0" borderId="0" xfId="0" applyFont="1" applyAlignment="1">
      <alignment horizontal="right"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wrapText="1"/>
    </xf>
    <xf numFmtId="167" fontId="26" fillId="2" borderId="10" xfId="3" applyNumberFormat="1" applyFont="1" applyFill="1" applyBorder="1" applyAlignment="1">
      <alignment horizontal="center" vertical="center" wrapText="1"/>
    </xf>
    <xf numFmtId="164" fontId="26" fillId="2" borderId="4" xfId="1" applyNumberFormat="1" applyFont="1" applyFill="1" applyBorder="1" applyAlignment="1">
      <alignment horizontal="justify" vertical="center"/>
    </xf>
    <xf numFmtId="164" fontId="26" fillId="2" borderId="5" xfId="1" applyNumberFormat="1" applyFont="1" applyFill="1" applyBorder="1" applyAlignment="1">
      <alignment horizontal="justify" vertical="center"/>
    </xf>
    <xf numFmtId="164" fontId="26" fillId="2" borderId="2" xfId="1" applyNumberFormat="1" applyFont="1" applyFill="1" applyBorder="1" applyAlignment="1">
      <alignment horizontal="justify" vertical="center"/>
    </xf>
    <xf numFmtId="164" fontId="26" fillId="2" borderId="14" xfId="1" applyNumberFormat="1" applyFont="1" applyFill="1" applyBorder="1" applyAlignment="1">
      <alignment horizontal="justify" vertical="center"/>
    </xf>
    <xf numFmtId="164" fontId="26" fillId="2" borderId="1" xfId="0" applyNumberFormat="1" applyFont="1" applyFill="1" applyBorder="1" applyAlignment="1">
      <alignment horizontal="justify" vertical="center" wrapText="1"/>
    </xf>
    <xf numFmtId="168" fontId="26" fillId="2" borderId="1" xfId="0" applyNumberFormat="1" applyFont="1" applyFill="1" applyBorder="1" applyAlignment="1">
      <alignment horizontal="justify" vertical="center" wrapText="1"/>
    </xf>
    <xf numFmtId="164" fontId="26" fillId="2" borderId="1" xfId="1" applyNumberFormat="1" applyFont="1" applyFill="1" applyBorder="1" applyAlignment="1">
      <alignment horizontal="justify" vertical="center" wrapText="1"/>
    </xf>
    <xf numFmtId="164" fontId="23" fillId="2" borderId="1" xfId="0" applyNumberFormat="1" applyFont="1" applyFill="1" applyBorder="1" applyAlignment="1">
      <alignment vertical="center" wrapText="1"/>
    </xf>
    <xf numFmtId="43" fontId="11" fillId="2" borderId="1" xfId="1" applyNumberFormat="1" applyFont="1" applyFill="1" applyBorder="1" applyAlignment="1">
      <alignment horizontal="justify" vertical="center"/>
    </xf>
    <xf numFmtId="43" fontId="26" fillId="2" borderId="1" xfId="3" applyNumberFormat="1" applyFont="1" applyFill="1" applyBorder="1" applyAlignment="1">
      <alignment horizontal="center" vertical="center" wrapText="1"/>
    </xf>
    <xf numFmtId="43" fontId="11" fillId="2" borderId="4" xfId="1" applyNumberFormat="1" applyFont="1" applyFill="1" applyBorder="1" applyAlignment="1">
      <alignment horizontal="justify" vertical="center"/>
    </xf>
    <xf numFmtId="43" fontId="26" fillId="2" borderId="1" xfId="1" applyNumberFormat="1" applyFont="1" applyFill="1" applyBorder="1" applyAlignment="1">
      <alignment horizontal="justify" vertical="center"/>
    </xf>
    <xf numFmtId="43" fontId="11" fillId="2" borderId="1" xfId="1" applyNumberFormat="1" applyFont="1" applyFill="1" applyBorder="1" applyAlignment="1">
      <alignment horizontal="justify" vertical="center" wrapText="1"/>
    </xf>
    <xf numFmtId="43" fontId="11" fillId="2" borderId="1" xfId="0" applyNumberFormat="1" applyFont="1" applyFill="1" applyBorder="1" applyAlignment="1">
      <alignment horizontal="justify" vertical="center" wrapText="1"/>
    </xf>
    <xf numFmtId="0" fontId="9" fillId="0" borderId="1" xfId="0" applyFont="1" applyBorder="1" applyAlignment="1">
      <alignment horizontal="left" vertical="center" wrapText="1"/>
    </xf>
    <xf numFmtId="0" fontId="9" fillId="0" borderId="1" xfId="0" applyFont="1" applyBorder="1" applyAlignment="1">
      <alignment horizontal="right"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30" fillId="2" borderId="0" xfId="0" applyFont="1" applyFill="1"/>
    <xf numFmtId="0" fontId="16" fillId="0" borderId="0" xfId="0" applyFont="1" applyAlignment="1">
      <alignment horizontal="center"/>
    </xf>
    <xf numFmtId="43" fontId="11" fillId="2" borderId="1" xfId="1" applyFont="1" applyFill="1" applyBorder="1" applyAlignment="1">
      <alignment horizontal="center"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0" fillId="2" borderId="0" xfId="0" applyFill="1" applyAlignment="1">
      <alignment vertical="top"/>
    </xf>
    <xf numFmtId="169" fontId="0" fillId="2" borderId="0" xfId="0" applyNumberFormat="1" applyFill="1"/>
    <xf numFmtId="169" fontId="21" fillId="2" borderId="0" xfId="0" applyNumberFormat="1" applyFont="1" applyFill="1"/>
    <xf numFmtId="169" fontId="7" fillId="2" borderId="0" xfId="0" applyNumberFormat="1" applyFont="1" applyFill="1"/>
    <xf numFmtId="169" fontId="0" fillId="2" borderId="0" xfId="0" applyNumberFormat="1" applyFill="1" applyAlignment="1">
      <alignment vertical="top"/>
    </xf>
    <xf numFmtId="169" fontId="28" fillId="2" borderId="0" xfId="0" applyNumberFormat="1" applyFont="1" applyFill="1"/>
    <xf numFmtId="169" fontId="25" fillId="2" borderId="0" xfId="0" applyNumberFormat="1" applyFont="1" applyFill="1"/>
    <xf numFmtId="0" fontId="25" fillId="2" borderId="0" xfId="0" applyFont="1" applyFill="1"/>
    <xf numFmtId="0" fontId="33" fillId="2" borderId="0" xfId="0" applyFont="1" applyFill="1"/>
    <xf numFmtId="169" fontId="33" fillId="2" borderId="0" xfId="0" applyNumberFormat="1" applyFont="1" applyFill="1"/>
    <xf numFmtId="169" fontId="27" fillId="2" borderId="0" xfId="0" applyNumberFormat="1" applyFont="1" applyFill="1"/>
    <xf numFmtId="0" fontId="14" fillId="2" borderId="0" xfId="0" applyFont="1" applyFill="1"/>
    <xf numFmtId="169" fontId="14" fillId="2" borderId="0" xfId="0" applyNumberFormat="1" applyFont="1" applyFill="1"/>
    <xf numFmtId="169" fontId="25" fillId="2" borderId="16" xfId="0" applyNumberFormat="1" applyFont="1" applyFill="1" applyBorder="1"/>
    <xf numFmtId="172" fontId="26" fillId="2" borderId="1" xfId="3" applyNumberFormat="1" applyFont="1" applyFill="1" applyBorder="1" applyAlignment="1">
      <alignment horizontal="center" vertical="center" wrapText="1"/>
    </xf>
    <xf numFmtId="173" fontId="0" fillId="2" borderId="0" xfId="0" applyNumberFormat="1" applyFill="1"/>
    <xf numFmtId="164" fontId="11" fillId="3" borderId="4" xfId="1" applyNumberFormat="1" applyFont="1" applyFill="1" applyBorder="1" applyAlignment="1">
      <alignment horizontal="justify" vertical="center"/>
    </xf>
    <xf numFmtId="0" fontId="11"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11" fillId="2" borderId="1" xfId="0" applyFont="1" applyFill="1" applyBorder="1" applyAlignment="1">
      <alignment horizontal="center" vertical="center" wrapText="1"/>
    </xf>
    <xf numFmtId="0" fontId="11" fillId="4" borderId="1" xfId="0" applyFont="1" applyFill="1" applyBorder="1" applyAlignment="1">
      <alignment horizontal="left" vertical="center" wrapText="1"/>
    </xf>
    <xf numFmtId="164" fontId="11" fillId="4" borderId="1" xfId="1" applyNumberFormat="1" applyFont="1" applyFill="1" applyBorder="1" applyAlignment="1">
      <alignment horizontal="justify" vertical="center"/>
    </xf>
    <xf numFmtId="164" fontId="26" fillId="4" borderId="1" xfId="1" applyNumberFormat="1" applyFont="1" applyFill="1" applyBorder="1" applyAlignment="1">
      <alignment horizontal="justify" vertical="center"/>
    </xf>
    <xf numFmtId="164" fontId="19" fillId="4" borderId="1" xfId="1" applyNumberFormat="1" applyFont="1" applyFill="1" applyBorder="1" applyAlignment="1">
      <alignment horizontal="justify" vertical="center"/>
    </xf>
    <xf numFmtId="0" fontId="10" fillId="4" borderId="1" xfId="0" applyFont="1" applyFill="1" applyBorder="1" applyAlignment="1">
      <alignment horizontal="left" vertical="center" wrapText="1"/>
    </xf>
    <xf numFmtId="0" fontId="11" fillId="6" borderId="1" xfId="0" applyFont="1" applyFill="1" applyBorder="1" applyAlignment="1">
      <alignment horizontal="left" vertical="center" wrapText="1"/>
    </xf>
    <xf numFmtId="164" fontId="11" fillId="6" borderId="1" xfId="1" applyNumberFormat="1" applyFont="1" applyFill="1" applyBorder="1" applyAlignment="1">
      <alignment horizontal="justify" vertical="center"/>
    </xf>
    <xf numFmtId="164" fontId="26" fillId="6" borderId="1" xfId="1" applyNumberFormat="1" applyFont="1" applyFill="1" applyBorder="1" applyAlignment="1">
      <alignment horizontal="justify" vertical="center"/>
    </xf>
    <xf numFmtId="164" fontId="11" fillId="6" borderId="4" xfId="1" applyNumberFormat="1" applyFont="1" applyFill="1" applyBorder="1" applyAlignment="1">
      <alignment horizontal="justify" vertical="center"/>
    </xf>
    <xf numFmtId="164" fontId="11" fillId="6" borderId="11" xfId="1" applyNumberFormat="1" applyFont="1" applyFill="1" applyBorder="1" applyAlignment="1">
      <alignment horizontal="justify" vertical="center"/>
    </xf>
    <xf numFmtId="164" fontId="11" fillId="4" borderId="5" xfId="1" applyNumberFormat="1" applyFont="1" applyFill="1" applyBorder="1" applyAlignment="1">
      <alignment horizontal="justify" vertical="center"/>
    </xf>
    <xf numFmtId="0" fontId="11" fillId="7" borderId="1" xfId="0" applyFont="1" applyFill="1" applyBorder="1" applyAlignment="1">
      <alignment horizontal="left" vertical="center" wrapText="1"/>
    </xf>
    <xf numFmtId="164" fontId="11" fillId="7" borderId="1" xfId="1" applyNumberFormat="1" applyFont="1" applyFill="1" applyBorder="1" applyAlignment="1">
      <alignment horizontal="justify" vertical="center"/>
    </xf>
    <xf numFmtId="164" fontId="26" fillId="7" borderId="1" xfId="1" applyNumberFormat="1" applyFont="1" applyFill="1" applyBorder="1" applyAlignment="1">
      <alignment horizontal="justify" vertical="center"/>
    </xf>
    <xf numFmtId="167" fontId="26" fillId="4" borderId="1" xfId="3"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164" fontId="11" fillId="10" borderId="1" xfId="1" applyNumberFormat="1" applyFont="1" applyFill="1" applyBorder="1" applyAlignment="1">
      <alignment horizontal="justify" vertical="center"/>
    </xf>
    <xf numFmtId="164" fontId="26" fillId="4" borderId="5" xfId="1" applyNumberFormat="1" applyFont="1" applyFill="1" applyBorder="1" applyAlignment="1">
      <alignment horizontal="justify" vertical="center"/>
    </xf>
    <xf numFmtId="0" fontId="0" fillId="4" borderId="0" xfId="0" applyFill="1"/>
    <xf numFmtId="0" fontId="34" fillId="2" borderId="1" xfId="0" applyFont="1" applyFill="1" applyBorder="1" applyAlignment="1">
      <alignment horizontal="center" vertical="center" wrapText="1"/>
    </xf>
    <xf numFmtId="0" fontId="41" fillId="2" borderId="1" xfId="0" applyFont="1" applyFill="1" applyBorder="1" applyAlignment="1">
      <alignment horizontal="center" vertical="center"/>
    </xf>
    <xf numFmtId="164" fontId="34" fillId="2" borderId="1" xfId="1" applyNumberFormat="1" applyFont="1" applyFill="1" applyBorder="1" applyAlignment="1">
      <alignment horizontal="justify" vertical="center"/>
    </xf>
    <xf numFmtId="169" fontId="30" fillId="2" borderId="0" xfId="0" applyNumberFormat="1" applyFont="1" applyFill="1"/>
    <xf numFmtId="164" fontId="42" fillId="2" borderId="1" xfId="1" applyNumberFormat="1" applyFont="1" applyFill="1" applyBorder="1" applyAlignment="1">
      <alignment horizontal="justify" vertical="center"/>
    </xf>
    <xf numFmtId="164" fontId="34" fillId="4" borderId="1" xfId="1" applyNumberFormat="1" applyFont="1" applyFill="1" applyBorder="1" applyAlignment="1">
      <alignment horizontal="justify" vertical="center"/>
    </xf>
    <xf numFmtId="168" fontId="0" fillId="4" borderId="0" xfId="0" applyNumberFormat="1" applyFill="1"/>
    <xf numFmtId="169" fontId="0" fillId="4" borderId="0" xfId="0" applyNumberFormat="1" applyFill="1"/>
    <xf numFmtId="43" fontId="11" fillId="6" borderId="1" xfId="1" applyNumberFormat="1" applyFont="1" applyFill="1" applyBorder="1" applyAlignment="1">
      <alignment horizontal="justify" vertical="center"/>
    </xf>
    <xf numFmtId="164" fontId="34" fillId="6" borderId="1" xfId="1" applyNumberFormat="1" applyFont="1" applyFill="1" applyBorder="1" applyAlignment="1">
      <alignment horizontal="justify" vertical="center"/>
    </xf>
    <xf numFmtId="164" fontId="34" fillId="3" borderId="1" xfId="1" applyNumberFormat="1" applyFont="1" applyFill="1" applyBorder="1" applyAlignment="1">
      <alignment horizontal="justify" vertical="center"/>
    </xf>
    <xf numFmtId="164" fontId="34" fillId="2" borderId="14" xfId="1" applyNumberFormat="1" applyFont="1" applyFill="1" applyBorder="1" applyAlignment="1">
      <alignment horizontal="justify" vertical="center"/>
    </xf>
    <xf numFmtId="167" fontId="34" fillId="8" borderId="14" xfId="3" applyNumberFormat="1" applyFont="1" applyFill="1" applyBorder="1" applyAlignment="1">
      <alignment horizontal="center" vertical="center" wrapText="1"/>
    </xf>
    <xf numFmtId="167" fontId="34" fillId="2" borderId="14" xfId="3" applyNumberFormat="1" applyFont="1" applyFill="1" applyBorder="1" applyAlignment="1">
      <alignment horizontal="center" vertical="center" wrapText="1"/>
    </xf>
    <xf numFmtId="164" fontId="34" fillId="2" borderId="4" xfId="1" applyNumberFormat="1" applyFont="1" applyFill="1" applyBorder="1" applyAlignment="1">
      <alignment horizontal="justify" vertical="center"/>
    </xf>
    <xf numFmtId="43" fontId="11" fillId="4" borderId="1" xfId="1" applyNumberFormat="1" applyFont="1" applyFill="1" applyBorder="1" applyAlignment="1">
      <alignment horizontal="justify" vertical="center"/>
    </xf>
    <xf numFmtId="164" fontId="34" fillId="8" borderId="1" xfId="1" applyNumberFormat="1" applyFont="1" applyFill="1" applyBorder="1" applyAlignment="1">
      <alignment horizontal="justify" vertical="center"/>
    </xf>
    <xf numFmtId="164" fontId="34" fillId="2" borderId="5" xfId="1" applyNumberFormat="1" applyFont="1" applyFill="1" applyBorder="1" applyAlignment="1">
      <alignment horizontal="justify" vertical="center"/>
    </xf>
    <xf numFmtId="0" fontId="7" fillId="4" borderId="0" xfId="0" applyFont="1" applyFill="1"/>
    <xf numFmtId="169" fontId="7" fillId="4" borderId="0" xfId="0" applyNumberFormat="1" applyFont="1" applyFill="1"/>
    <xf numFmtId="0" fontId="7" fillId="6" borderId="0" xfId="0" applyFont="1" applyFill="1"/>
    <xf numFmtId="168" fontId="0" fillId="6" borderId="0" xfId="0" applyNumberFormat="1" applyFill="1"/>
    <xf numFmtId="169" fontId="7" fillId="6" borderId="0" xfId="0" applyNumberFormat="1" applyFont="1" applyFill="1"/>
    <xf numFmtId="164" fontId="34" fillId="8" borderId="14" xfId="1" applyNumberFormat="1" applyFont="1" applyFill="1" applyBorder="1" applyAlignment="1">
      <alignment horizontal="justify" vertical="center"/>
    </xf>
    <xf numFmtId="164" fontId="11" fillId="4" borderId="14" xfId="1" applyNumberFormat="1" applyFont="1" applyFill="1" applyBorder="1" applyAlignment="1">
      <alignment horizontal="justify" vertical="center"/>
    </xf>
    <xf numFmtId="0" fontId="0" fillId="6" borderId="0" xfId="0" applyFill="1"/>
    <xf numFmtId="167" fontId="34" fillId="3" borderId="1" xfId="3" applyNumberFormat="1" applyFont="1" applyFill="1" applyBorder="1" applyAlignment="1">
      <alignment horizontal="center" vertical="center" wrapText="1"/>
    </xf>
    <xf numFmtId="167" fontId="34" fillId="9" borderId="1" xfId="3" applyNumberFormat="1" applyFont="1" applyFill="1" applyBorder="1" applyAlignment="1">
      <alignment horizontal="center" vertical="center" wrapText="1"/>
    </xf>
    <xf numFmtId="167" fontId="26" fillId="4" borderId="5" xfId="3" applyNumberFormat="1" applyFont="1" applyFill="1" applyBorder="1" applyAlignment="1">
      <alignment horizontal="center" vertical="center" wrapText="1"/>
    </xf>
    <xf numFmtId="167" fontId="34" fillId="4" borderId="1" xfId="3" applyNumberFormat="1" applyFont="1" applyFill="1" applyBorder="1" applyAlignment="1">
      <alignment horizontal="center" vertical="center" wrapText="1"/>
    </xf>
    <xf numFmtId="167" fontId="34" fillId="2" borderId="4" xfId="3" applyNumberFormat="1" applyFont="1" applyFill="1" applyBorder="1" applyAlignment="1">
      <alignment horizontal="center" vertical="center" wrapText="1"/>
    </xf>
    <xf numFmtId="167" fontId="34" fillId="3" borderId="4" xfId="3" applyNumberFormat="1" applyFont="1" applyFill="1" applyBorder="1" applyAlignment="1">
      <alignment horizontal="center" vertical="center" wrapText="1"/>
    </xf>
    <xf numFmtId="167" fontId="34" fillId="9" borderId="4" xfId="3" applyNumberFormat="1" applyFont="1" applyFill="1" applyBorder="1" applyAlignment="1">
      <alignment horizontal="center" vertical="center" wrapText="1"/>
    </xf>
    <xf numFmtId="167" fontId="26" fillId="4" borderId="11" xfId="3" applyNumberFormat="1" applyFont="1" applyFill="1" applyBorder="1" applyAlignment="1">
      <alignment horizontal="center" vertical="center" wrapText="1"/>
    </xf>
    <xf numFmtId="170" fontId="0" fillId="4" borderId="0" xfId="0" applyNumberFormat="1" applyFill="1"/>
    <xf numFmtId="167" fontId="26" fillId="4" borderId="4" xfId="3" applyNumberFormat="1" applyFont="1" applyFill="1" applyBorder="1" applyAlignment="1">
      <alignment horizontal="center" vertical="center" wrapText="1"/>
    </xf>
    <xf numFmtId="164" fontId="42" fillId="4" borderId="1" xfId="1" applyNumberFormat="1" applyFont="1" applyFill="1" applyBorder="1" applyAlignment="1">
      <alignment horizontal="justify" vertical="center"/>
    </xf>
    <xf numFmtId="164" fontId="34" fillId="9" borderId="1" xfId="1" applyNumberFormat="1" applyFont="1" applyFill="1" applyBorder="1" applyAlignment="1">
      <alignment horizontal="justify" vertical="center"/>
    </xf>
    <xf numFmtId="0" fontId="26" fillId="6" borderId="1" xfId="0" applyFont="1" applyFill="1" applyBorder="1" applyAlignment="1">
      <alignment horizontal="left" vertical="center" wrapText="1"/>
    </xf>
    <xf numFmtId="43" fontId="26" fillId="6" borderId="1" xfId="1" applyNumberFormat="1" applyFont="1" applyFill="1" applyBorder="1" applyAlignment="1">
      <alignment horizontal="justify" vertical="center"/>
    </xf>
    <xf numFmtId="0" fontId="28" fillId="6" borderId="0" xfId="0" applyFont="1" applyFill="1"/>
    <xf numFmtId="168" fontId="34" fillId="3" borderId="1" xfId="1" applyNumberFormat="1" applyFont="1" applyFill="1" applyBorder="1" applyAlignment="1">
      <alignment horizontal="justify" vertical="center"/>
    </xf>
    <xf numFmtId="167" fontId="26" fillId="4" borderId="14" xfId="3" applyNumberFormat="1" applyFont="1" applyFill="1" applyBorder="1" applyAlignment="1">
      <alignment horizontal="center" vertical="center" wrapText="1"/>
    </xf>
    <xf numFmtId="169" fontId="0" fillId="4" borderId="16" xfId="0" applyNumberFormat="1" applyFill="1" applyBorder="1"/>
    <xf numFmtId="167" fontId="26" fillId="4" borderId="10" xfId="3" applyNumberFormat="1" applyFont="1" applyFill="1" applyBorder="1" applyAlignment="1">
      <alignment horizontal="center" vertical="center" wrapText="1"/>
    </xf>
    <xf numFmtId="171" fontId="0" fillId="4" borderId="0" xfId="0" applyNumberFormat="1" applyFill="1"/>
    <xf numFmtId="169" fontId="0" fillId="6" borderId="0" xfId="0" applyNumberFormat="1" applyFill="1"/>
    <xf numFmtId="164" fontId="34" fillId="2" borderId="2" xfId="1" applyNumberFormat="1" applyFont="1" applyFill="1" applyBorder="1" applyAlignment="1">
      <alignment horizontal="justify" vertical="center"/>
    </xf>
    <xf numFmtId="164" fontId="26" fillId="4" borderId="14" xfId="1" applyNumberFormat="1" applyFont="1" applyFill="1" applyBorder="1" applyAlignment="1">
      <alignment horizontal="justify" vertical="center"/>
    </xf>
    <xf numFmtId="167" fontId="34" fillId="4" borderId="4" xfId="3" applyNumberFormat="1" applyFont="1" applyFill="1" applyBorder="1" applyAlignment="1">
      <alignment horizontal="center" vertical="center" wrapText="1"/>
    </xf>
    <xf numFmtId="43" fontId="11" fillId="7" borderId="1" xfId="1" applyNumberFormat="1" applyFont="1" applyFill="1" applyBorder="1" applyAlignment="1">
      <alignment horizontal="justify" vertical="center"/>
    </xf>
    <xf numFmtId="164" fontId="34" fillId="7" borderId="1" xfId="1" applyNumberFormat="1" applyFont="1" applyFill="1" applyBorder="1" applyAlignment="1">
      <alignment horizontal="justify" vertical="center"/>
    </xf>
    <xf numFmtId="0" fontId="0" fillId="7" borderId="0" xfId="0" applyFill="1"/>
    <xf numFmtId="168" fontId="0" fillId="7" borderId="0" xfId="0" applyNumberFormat="1" applyFill="1"/>
    <xf numFmtId="169" fontId="0" fillId="7" borderId="0" xfId="0" applyNumberFormat="1" applyFill="1"/>
    <xf numFmtId="0" fontId="10" fillId="7" borderId="1" xfId="0" applyFont="1" applyFill="1" applyBorder="1" applyAlignment="1">
      <alignment horizontal="left" vertical="center" wrapText="1"/>
    </xf>
    <xf numFmtId="0" fontId="34" fillId="2" borderId="1" xfId="0" applyFont="1" applyFill="1" applyBorder="1" applyAlignment="1">
      <alignment horizontal="justify" vertical="center"/>
    </xf>
    <xf numFmtId="164" fontId="34" fillId="2" borderId="1" xfId="1" applyNumberFormat="1" applyFont="1" applyFill="1" applyBorder="1" applyAlignment="1">
      <alignment horizontal="justify" vertical="center" wrapText="1"/>
    </xf>
    <xf numFmtId="0" fontId="34" fillId="2" borderId="1" xfId="0" applyFont="1" applyFill="1" applyBorder="1" applyAlignment="1">
      <alignment horizontal="justify" vertical="center" wrapText="1"/>
    </xf>
    <xf numFmtId="168" fontId="34" fillId="3" borderId="1" xfId="0" applyNumberFormat="1" applyFont="1" applyFill="1" applyBorder="1" applyAlignment="1">
      <alignment horizontal="justify" vertical="center" wrapText="1"/>
    </xf>
    <xf numFmtId="168" fontId="34" fillId="2" borderId="1" xfId="0" applyNumberFormat="1" applyFont="1" applyFill="1" applyBorder="1" applyAlignment="1">
      <alignment horizontal="justify" vertical="center" wrapText="1"/>
    </xf>
    <xf numFmtId="164" fontId="34" fillId="2" borderId="1" xfId="0" applyNumberFormat="1" applyFont="1" applyFill="1" applyBorder="1" applyAlignment="1">
      <alignment horizontal="justify" vertical="center" wrapText="1"/>
    </xf>
    <xf numFmtId="164" fontId="34" fillId="3" borderId="1" xfId="0" applyNumberFormat="1" applyFont="1" applyFill="1" applyBorder="1" applyAlignment="1">
      <alignment horizontal="justify" vertical="center" wrapText="1"/>
    </xf>
    <xf numFmtId="168" fontId="34" fillId="2" borderId="1" xfId="1" applyNumberFormat="1" applyFont="1" applyFill="1" applyBorder="1" applyAlignment="1">
      <alignment horizontal="justify" vertical="center" wrapText="1"/>
    </xf>
    <xf numFmtId="0" fontId="43" fillId="2" borderId="0" xfId="0" applyFont="1" applyFill="1"/>
    <xf numFmtId="168" fontId="33" fillId="2" borderId="0" xfId="0" applyNumberFormat="1" applyFont="1" applyFill="1"/>
    <xf numFmtId="168" fontId="44" fillId="2" borderId="0" xfId="0" applyNumberFormat="1" applyFont="1" applyFill="1"/>
    <xf numFmtId="168" fontId="45" fillId="2" borderId="0" xfId="0" applyNumberFormat="1" applyFont="1" applyFill="1"/>
    <xf numFmtId="0" fontId="45" fillId="2" borderId="0" xfId="0" applyFont="1" applyFill="1"/>
    <xf numFmtId="0" fontId="11" fillId="0" borderId="1" xfId="0" applyFont="1" applyBorder="1" applyAlignment="1">
      <alignment horizontal="center" vertical="center" wrapText="1"/>
    </xf>
    <xf numFmtId="43" fontId="11" fillId="5" borderId="1" xfId="1" applyFont="1" applyFill="1" applyBorder="1" applyAlignment="1">
      <alignment horizontal="center" vertical="center" wrapText="1"/>
    </xf>
    <xf numFmtId="168" fontId="11" fillId="5" borderId="1" xfId="1" applyNumberFormat="1" applyFont="1" applyFill="1" applyBorder="1" applyAlignment="1">
      <alignment vertical="center" wrapText="1"/>
    </xf>
    <xf numFmtId="168" fontId="11" fillId="0" borderId="1" xfId="1" applyNumberFormat="1" applyFont="1" applyBorder="1" applyAlignment="1">
      <alignment vertical="center" wrapText="1"/>
    </xf>
    <xf numFmtId="168" fontId="11" fillId="2" borderId="1" xfId="1" applyNumberFormat="1" applyFont="1" applyFill="1" applyBorder="1" applyAlignment="1">
      <alignment vertical="center" wrapText="1"/>
    </xf>
    <xf numFmtId="168" fontId="11" fillId="0" borderId="2" xfId="1" applyNumberFormat="1" applyFont="1" applyBorder="1" applyAlignment="1">
      <alignment horizontal="center" vertical="center" wrapText="1"/>
    </xf>
    <xf numFmtId="0" fontId="11" fillId="0" borderId="1" xfId="0" applyFont="1" applyBorder="1" applyAlignment="1">
      <alignment horizontal="left" vertical="center" wrapText="1"/>
    </xf>
    <xf numFmtId="0" fontId="11"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8" fillId="2" borderId="0" xfId="12" applyFill="1" applyAlignment="1">
      <alignment horizontal="center"/>
    </xf>
    <xf numFmtId="0" fontId="8" fillId="2" borderId="0" xfId="12" applyFill="1" applyAlignment="1">
      <alignment horizontal="left"/>
    </xf>
    <xf numFmtId="0" fontId="8" fillId="2" borderId="0" xfId="12" applyFill="1"/>
    <xf numFmtId="0" fontId="28" fillId="2" borderId="0" xfId="12" applyFont="1" applyFill="1"/>
    <xf numFmtId="0" fontId="16" fillId="2" borderId="0" xfId="12" applyFont="1" applyFill="1" applyAlignment="1">
      <alignment horizontal="right" vertical="center"/>
    </xf>
    <xf numFmtId="0" fontId="16" fillId="2" borderId="0" xfId="12" applyFont="1" applyFill="1" applyAlignment="1">
      <alignment horizontal="center" vertical="center"/>
    </xf>
    <xf numFmtId="0" fontId="20" fillId="2" borderId="19" xfId="12" applyFont="1" applyFill="1" applyBorder="1" applyAlignment="1">
      <alignment horizontal="center" vertical="center"/>
    </xf>
    <xf numFmtId="0" fontId="39" fillId="2" borderId="19" xfId="12" applyFont="1" applyFill="1" applyBorder="1" applyAlignment="1">
      <alignment horizontal="center" vertical="center"/>
    </xf>
    <xf numFmtId="0" fontId="21" fillId="2" borderId="0" xfId="12" applyFont="1" applyFill="1"/>
    <xf numFmtId="164" fontId="40" fillId="2" borderId="19" xfId="13" applyNumberFormat="1" applyFont="1" applyFill="1" applyBorder="1" applyAlignment="1">
      <alignment horizontal="justify" vertical="center"/>
    </xf>
    <xf numFmtId="164" fontId="26" fillId="2" borderId="19" xfId="13" applyNumberFormat="1" applyFont="1" applyFill="1" applyBorder="1" applyAlignment="1">
      <alignment horizontal="justify" vertical="center"/>
    </xf>
    <xf numFmtId="0" fontId="7" fillId="2" borderId="0" xfId="12" applyFont="1" applyFill="1"/>
    <xf numFmtId="0" fontId="7" fillId="0" borderId="0" xfId="12" applyFont="1" applyFill="1"/>
    <xf numFmtId="0" fontId="8" fillId="0" borderId="0" xfId="12" applyFill="1"/>
    <xf numFmtId="0" fontId="40" fillId="2" borderId="19" xfId="12" applyFont="1" applyFill="1" applyBorder="1" applyAlignment="1">
      <alignment horizontal="left" vertical="center" wrapText="1"/>
    </xf>
    <xf numFmtId="0" fontId="28" fillId="0" borderId="0" xfId="12" applyFont="1" applyFill="1"/>
    <xf numFmtId="164" fontId="40" fillId="2" borderId="19" xfId="13" applyNumberFormat="1" applyFont="1" applyFill="1" applyBorder="1" applyAlignment="1">
      <alignment horizontal="justify"/>
    </xf>
    <xf numFmtId="164" fontId="26" fillId="2" borderId="19" xfId="13" applyNumberFormat="1" applyFont="1" applyFill="1" applyBorder="1" applyAlignment="1">
      <alignment horizontal="justify"/>
    </xf>
    <xf numFmtId="164" fontId="26" fillId="2" borderId="19" xfId="13" applyNumberFormat="1" applyFont="1" applyFill="1" applyBorder="1" applyAlignment="1">
      <alignment vertical="center" wrapText="1"/>
    </xf>
    <xf numFmtId="168" fontId="8" fillId="2" borderId="0" xfId="12" applyNumberFormat="1" applyFill="1"/>
    <xf numFmtId="0" fontId="9" fillId="2" borderId="0" xfId="12" applyFont="1" applyFill="1" applyAlignment="1">
      <alignment horizontal="center"/>
    </xf>
    <xf numFmtId="0" fontId="9" fillId="2" borderId="0" xfId="12" applyFont="1" applyFill="1" applyAlignment="1">
      <alignment horizontal="left"/>
    </xf>
    <xf numFmtId="0" fontId="9" fillId="2" borderId="0" xfId="12" applyFont="1" applyFill="1"/>
    <xf numFmtId="0" fontId="23" fillId="2" borderId="0" xfId="12" applyFont="1" applyFill="1"/>
    <xf numFmtId="168" fontId="28" fillId="2" borderId="0" xfId="12" applyNumberFormat="1" applyFont="1" applyFill="1"/>
    <xf numFmtId="0" fontId="26" fillId="0" borderId="1" xfId="0" applyFont="1" applyBorder="1" applyAlignment="1">
      <alignment horizontal="center" vertical="center" wrapText="1"/>
    </xf>
    <xf numFmtId="0" fontId="26" fillId="0" borderId="1" xfId="0" applyFont="1" applyBorder="1" applyAlignment="1">
      <alignment vertical="center" wrapText="1"/>
    </xf>
    <xf numFmtId="0" fontId="26" fillId="0" borderId="1" xfId="0" applyFont="1" applyBorder="1" applyAlignment="1">
      <alignment horizontal="left" vertical="center"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47" fillId="0" borderId="8" xfId="0" applyFont="1" applyBorder="1" applyAlignment="1"/>
    <xf numFmtId="0" fontId="47" fillId="0" borderId="0" xfId="0" applyFont="1" applyAlignment="1"/>
    <xf numFmtId="0" fontId="47" fillId="0" borderId="0" xfId="0" applyFont="1"/>
    <xf numFmtId="0" fontId="11"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1" fillId="0" borderId="14" xfId="0" applyFont="1" applyBorder="1" applyAlignment="1">
      <alignment horizontal="center" vertical="center" wrapText="1"/>
    </xf>
    <xf numFmtId="0" fontId="11" fillId="0" borderId="1" xfId="0" applyFont="1" applyBorder="1" applyAlignment="1">
      <alignment horizontal="center" vertical="center" wrapText="1"/>
    </xf>
    <xf numFmtId="168" fontId="11" fillId="2" borderId="1" xfId="1" applyNumberFormat="1" applyFont="1" applyFill="1" applyBorder="1" applyAlignment="1">
      <alignment horizontal="center" vertical="center" wrapText="1"/>
    </xf>
    <xf numFmtId="164" fontId="40" fillId="2" borderId="19" xfId="13" applyNumberFormat="1" applyFont="1" applyFill="1" applyBorder="1" applyAlignment="1">
      <alignment horizontal="justify" vertical="center" wrapText="1"/>
    </xf>
    <xf numFmtId="43" fontId="19" fillId="2" borderId="1" xfId="1" applyFont="1" applyFill="1" applyBorder="1" applyAlignment="1">
      <alignment horizontal="center" vertical="center" wrapText="1"/>
    </xf>
    <xf numFmtId="168" fontId="19" fillId="2" borderId="1" xfId="1" applyNumberFormat="1" applyFont="1" applyFill="1" applyBorder="1" applyAlignment="1">
      <alignment vertical="center" wrapText="1"/>
    </xf>
    <xf numFmtId="0" fontId="11" fillId="0" borderId="1" xfId="0" applyFont="1" applyBorder="1" applyAlignment="1">
      <alignment horizontal="center" vertical="center" wrapText="1"/>
    </xf>
    <xf numFmtId="168" fontId="26" fillId="0" borderId="1" xfId="1" applyNumberFormat="1" applyFont="1" applyBorder="1" applyAlignment="1">
      <alignment vertical="center" wrapText="1"/>
    </xf>
    <xf numFmtId="168" fontId="26" fillId="2" borderId="1" xfId="1" applyNumberFormat="1" applyFont="1" applyFill="1" applyBorder="1" applyAlignment="1">
      <alignment vertical="center" wrapText="1"/>
    </xf>
    <xf numFmtId="168" fontId="40" fillId="2" borderId="1" xfId="1" applyNumberFormat="1" applyFont="1" applyFill="1" applyBorder="1" applyAlignment="1">
      <alignment vertical="center" wrapText="1"/>
    </xf>
    <xf numFmtId="164" fontId="26" fillId="2" borderId="19" xfId="13" applyNumberFormat="1" applyFont="1" applyFill="1" applyBorder="1" applyAlignment="1">
      <alignment horizontal="center"/>
    </xf>
    <xf numFmtId="168" fontId="26" fillId="2" borderId="1" xfId="1" applyNumberFormat="1" applyFont="1" applyFill="1" applyBorder="1" applyAlignment="1">
      <alignment horizontal="center" vertical="center" wrapText="1"/>
    </xf>
    <xf numFmtId="168" fontId="26" fillId="2" borderId="3" xfId="1" applyNumberFormat="1" applyFont="1" applyFill="1" applyBorder="1" applyAlignment="1">
      <alignment horizontal="center" vertical="center" wrapText="1"/>
    </xf>
    <xf numFmtId="0" fontId="11" fillId="0" borderId="1" xfId="0" applyFont="1" applyBorder="1" applyAlignment="1">
      <alignment horizontal="left" vertical="center" wrapText="1"/>
    </xf>
    <xf numFmtId="0" fontId="26" fillId="0" borderId="2" xfId="0" applyFont="1" applyBorder="1" applyAlignment="1">
      <alignment horizontal="center" vertical="center" wrapText="1"/>
    </xf>
    <xf numFmtId="0" fontId="26" fillId="2" borderId="19" xfId="12" applyFont="1" applyFill="1" applyBorder="1" applyAlignment="1">
      <alignment horizontal="left" vertical="center" wrapText="1"/>
    </xf>
    <xf numFmtId="0" fontId="26" fillId="2" borderId="19" xfId="12" applyFont="1" applyFill="1" applyBorder="1" applyAlignment="1">
      <alignment horizontal="center" vertical="center" wrapText="1"/>
    </xf>
    <xf numFmtId="0" fontId="11" fillId="2" borderId="19" xfId="12" applyFont="1" applyFill="1" applyBorder="1" applyAlignment="1">
      <alignment horizontal="center" vertical="center" wrapText="1"/>
    </xf>
    <xf numFmtId="0" fontId="11" fillId="0" borderId="1" xfId="0" applyFont="1" applyBorder="1" applyAlignment="1">
      <alignment horizontal="center" vertical="center" wrapText="1"/>
    </xf>
    <xf numFmtId="167" fontId="26" fillId="2" borderId="19" xfId="24" applyNumberFormat="1" applyFont="1" applyFill="1" applyBorder="1" applyAlignment="1">
      <alignment vertical="center" wrapText="1"/>
    </xf>
    <xf numFmtId="167" fontId="26" fillId="2" borderId="19" xfId="24" applyNumberFormat="1" applyFont="1" applyFill="1" applyBorder="1" applyAlignment="1">
      <alignment horizontal="center" vertical="center" wrapText="1"/>
    </xf>
    <xf numFmtId="168" fontId="26" fillId="2" borderId="14" xfId="13" applyNumberFormat="1" applyFont="1" applyFill="1" applyBorder="1" applyAlignment="1">
      <alignment vertical="center" wrapText="1"/>
    </xf>
    <xf numFmtId="168" fontId="26" fillId="2" borderId="19" xfId="13" applyNumberFormat="1" applyFont="1" applyFill="1" applyBorder="1" applyAlignment="1">
      <alignment horizontal="center" vertical="center" wrapText="1"/>
    </xf>
    <xf numFmtId="0" fontId="26" fillId="2" borderId="19" xfId="12" applyFont="1" applyFill="1" applyBorder="1" applyAlignment="1">
      <alignment horizontal="justify" vertical="center"/>
    </xf>
    <xf numFmtId="164" fontId="26" fillId="2" borderId="19" xfId="13" applyNumberFormat="1" applyFont="1" applyFill="1" applyBorder="1" applyAlignment="1">
      <alignment horizontal="justify" vertical="center" wrapText="1"/>
    </xf>
    <xf numFmtId="164" fontId="26" fillId="2" borderId="19" xfId="13" applyNumberFormat="1" applyFont="1" applyFill="1" applyBorder="1" applyAlignment="1">
      <alignment horizontal="left" vertical="center" wrapText="1"/>
    </xf>
    <xf numFmtId="164" fontId="26" fillId="2" borderId="19" xfId="12" applyNumberFormat="1" applyFont="1" applyFill="1" applyBorder="1" applyAlignment="1">
      <alignment horizontal="justify" vertical="center" wrapText="1"/>
    </xf>
    <xf numFmtId="175" fontId="40" fillId="2" borderId="19" xfId="13" applyNumberFormat="1" applyFont="1" applyFill="1" applyBorder="1" applyAlignment="1">
      <alignment horizontal="justify" vertical="center" wrapText="1"/>
    </xf>
    <xf numFmtId="0" fontId="26" fillId="2" borderId="19" xfId="12" applyFont="1" applyFill="1" applyBorder="1" applyAlignment="1">
      <alignment horizontal="justify" vertical="center" wrapText="1"/>
    </xf>
    <xf numFmtId="168" fontId="26" fillId="2" borderId="19" xfId="12" applyNumberFormat="1" applyFont="1" applyFill="1" applyBorder="1" applyAlignment="1">
      <alignment horizontal="justify" vertical="center" wrapText="1"/>
    </xf>
    <xf numFmtId="164" fontId="12" fillId="0" borderId="1" xfId="1" applyNumberFormat="1" applyFont="1" applyBorder="1" applyAlignment="1">
      <alignment horizontal="right" vertical="center" wrapText="1"/>
    </xf>
    <xf numFmtId="164" fontId="24" fillId="0" borderId="1" xfId="1" applyNumberFormat="1" applyFont="1" applyBorder="1" applyAlignment="1">
      <alignment horizontal="right" vertical="center" wrapText="1"/>
    </xf>
    <xf numFmtId="164" fontId="24" fillId="0" borderId="14" xfId="1" applyNumberFormat="1" applyFont="1" applyBorder="1" applyAlignment="1">
      <alignment horizontal="right" vertical="center" wrapText="1"/>
    </xf>
    <xf numFmtId="164" fontId="24" fillId="0" borderId="15" xfId="1" applyNumberFormat="1" applyFont="1" applyBorder="1" applyAlignment="1">
      <alignment horizontal="right" vertical="center" wrapText="1"/>
    </xf>
    <xf numFmtId="164" fontId="24" fillId="0" borderId="5" xfId="1" applyNumberFormat="1" applyFont="1" applyBorder="1" applyAlignment="1">
      <alignment horizontal="right" vertical="center" wrapText="1"/>
    </xf>
    <xf numFmtId="0" fontId="9" fillId="0" borderId="14" xfId="0" applyFont="1" applyBorder="1" applyAlignment="1">
      <alignment horizontal="right" vertical="center" wrapText="1"/>
    </xf>
    <xf numFmtId="0" fontId="9" fillId="0" borderId="15" xfId="0" applyFont="1" applyBorder="1" applyAlignment="1">
      <alignment horizontal="right" vertical="center" wrapText="1"/>
    </xf>
    <xf numFmtId="164" fontId="23" fillId="3" borderId="19" xfId="1" applyNumberFormat="1" applyFont="1" applyFill="1" applyBorder="1" applyAlignment="1">
      <alignment horizontal="center" vertical="center" wrapText="1"/>
    </xf>
    <xf numFmtId="2" fontId="24" fillId="0" borderId="1" xfId="1" applyNumberFormat="1" applyFont="1" applyBorder="1" applyAlignment="1">
      <alignment horizontal="right" vertical="center" wrapText="1"/>
    </xf>
    <xf numFmtId="2" fontId="24" fillId="0" borderId="14" xfId="1" applyNumberFormat="1" applyFont="1" applyBorder="1" applyAlignment="1">
      <alignment horizontal="right" vertical="center" wrapText="1"/>
    </xf>
    <xf numFmtId="2" fontId="24" fillId="0" borderId="15" xfId="1" applyNumberFormat="1" applyFont="1" applyBorder="1" applyAlignment="1">
      <alignment horizontal="right" vertical="center" wrapText="1"/>
    </xf>
    <xf numFmtId="2" fontId="24" fillId="0" borderId="5" xfId="1" applyNumberFormat="1" applyFont="1" applyBorder="1" applyAlignment="1">
      <alignment horizontal="right" vertical="center" wrapText="1"/>
    </xf>
    <xf numFmtId="2" fontId="9" fillId="0" borderId="14" xfId="0" applyNumberFormat="1" applyFont="1" applyBorder="1" applyAlignment="1">
      <alignment horizontal="right" vertical="center" wrapText="1"/>
    </xf>
    <xf numFmtId="2" fontId="9" fillId="0" borderId="15" xfId="0" applyNumberFormat="1" applyFont="1" applyBorder="1" applyAlignment="1">
      <alignment horizontal="right" vertical="center" wrapText="1"/>
    </xf>
    <xf numFmtId="2" fontId="9" fillId="0" borderId="1" xfId="1" applyNumberFormat="1" applyFont="1" applyBorder="1" applyAlignment="1">
      <alignment horizontal="right" vertical="center" wrapText="1"/>
    </xf>
    <xf numFmtId="2" fontId="12" fillId="0" borderId="1" xfId="1" applyNumberFormat="1" applyFont="1" applyBorder="1" applyAlignment="1">
      <alignment horizontal="right" vertical="center" wrapText="1"/>
    </xf>
    <xf numFmtId="164" fontId="24" fillId="0" borderId="14" xfId="1" applyNumberFormat="1" applyFont="1" applyBorder="1" applyAlignment="1">
      <alignment horizontal="center" vertical="center" wrapText="1"/>
    </xf>
    <xf numFmtId="164" fontId="24" fillId="0" borderId="15" xfId="1" applyNumberFormat="1" applyFont="1" applyBorder="1" applyAlignment="1">
      <alignment horizontal="center" vertical="center" wrapText="1"/>
    </xf>
    <xf numFmtId="164" fontId="24" fillId="0" borderId="5" xfId="1" applyNumberFormat="1" applyFont="1" applyBorder="1" applyAlignment="1">
      <alignment horizontal="center" vertical="center" wrapText="1"/>
    </xf>
    <xf numFmtId="164" fontId="9" fillId="0" borderId="1" xfId="1" applyNumberFormat="1" applyFont="1" applyBorder="1" applyAlignment="1">
      <alignment horizontal="left" vertical="center" wrapText="1"/>
    </xf>
    <xf numFmtId="164" fontId="12" fillId="0" borderId="1" xfId="1" applyNumberFormat="1" applyFont="1" applyBorder="1" applyAlignment="1">
      <alignment horizontal="center" vertical="center" wrapText="1"/>
    </xf>
    <xf numFmtId="164" fontId="24" fillId="0" borderId="1" xfId="1" applyNumberFormat="1" applyFont="1" applyBorder="1" applyAlignment="1">
      <alignment horizontal="left" vertical="center"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1" xfId="0" applyFont="1" applyBorder="1" applyAlignment="1">
      <alignment horizontal="left" vertical="center" wrapText="1"/>
    </xf>
    <xf numFmtId="2" fontId="9" fillId="0" borderId="5" xfId="0" applyNumberFormat="1" applyFont="1" applyBorder="1" applyAlignment="1">
      <alignment horizontal="right" vertical="center" wrapText="1"/>
    </xf>
    <xf numFmtId="43" fontId="9" fillId="0" borderId="14" xfId="0" applyNumberFormat="1" applyFont="1" applyBorder="1" applyAlignment="1">
      <alignment horizontal="right" vertical="center" wrapText="1"/>
    </xf>
    <xf numFmtId="43" fontId="9" fillId="0" borderId="15" xfId="0" applyNumberFormat="1" applyFont="1" applyBorder="1" applyAlignment="1">
      <alignment horizontal="right" vertical="center" wrapText="1"/>
    </xf>
    <xf numFmtId="164" fontId="12" fillId="0" borderId="1" xfId="1" applyNumberFormat="1" applyFont="1" applyBorder="1" applyAlignment="1">
      <alignment horizontal="left" vertical="center" wrapText="1"/>
    </xf>
    <xf numFmtId="0" fontId="12" fillId="0" borderId="14" xfId="0" applyFont="1" applyBorder="1" applyAlignment="1">
      <alignment horizontal="right" vertical="center" wrapText="1"/>
    </xf>
    <xf numFmtId="0" fontId="12" fillId="0" borderId="15" xfId="0" applyFont="1" applyBorder="1" applyAlignment="1">
      <alignment horizontal="righ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5" xfId="0" applyFont="1" applyBorder="1" applyAlignment="1">
      <alignment horizontal="left" vertical="center" wrapText="1"/>
    </xf>
    <xf numFmtId="0" fontId="9" fillId="0" borderId="14" xfId="0" applyFont="1" applyBorder="1" applyAlignment="1">
      <alignment horizontal="right"/>
    </xf>
    <xf numFmtId="0" fontId="9" fillId="0" borderId="15" xfId="0" applyFont="1" applyBorder="1" applyAlignment="1">
      <alignment horizontal="right"/>
    </xf>
    <xf numFmtId="174" fontId="9" fillId="0" borderId="14" xfId="0" applyNumberFormat="1" applyFont="1" applyBorder="1" applyAlignment="1">
      <alignment horizontal="right"/>
    </xf>
    <xf numFmtId="174" fontId="9" fillId="0" borderId="15" xfId="0" applyNumberFormat="1" applyFont="1" applyBorder="1" applyAlignment="1">
      <alignment horizontal="right"/>
    </xf>
    <xf numFmtId="164" fontId="12" fillId="0" borderId="14" xfId="1" applyNumberFormat="1" applyFont="1" applyBorder="1" applyAlignment="1">
      <alignment horizontal="center" vertical="center" wrapText="1"/>
    </xf>
    <xf numFmtId="164" fontId="12" fillId="0" borderId="15" xfId="1" applyNumberFormat="1" applyFont="1" applyBorder="1" applyAlignment="1">
      <alignment horizontal="center" vertical="center" wrapText="1"/>
    </xf>
    <xf numFmtId="164" fontId="12" fillId="0" borderId="5" xfId="1" applyNumberFormat="1" applyFont="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9" fillId="0" borderId="1" xfId="0" applyFont="1" applyBorder="1" applyAlignment="1">
      <alignment horizontal="right" vertical="center" wrapText="1"/>
    </xf>
    <xf numFmtId="0" fontId="10" fillId="0" borderId="1" xfId="0" applyFont="1" applyBorder="1" applyAlignment="1">
      <alignment horizontal="righ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2" xfId="0" applyFont="1" applyBorder="1" applyAlignment="1">
      <alignment horizontal="left"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9" fillId="3" borderId="19" xfId="0" applyFont="1" applyFill="1" applyBorder="1" applyAlignment="1">
      <alignment horizontal="center" vertical="center" wrapText="1"/>
    </xf>
    <xf numFmtId="164" fontId="9" fillId="3" borderId="19" xfId="1" applyNumberFormat="1" applyFont="1" applyFill="1" applyBorder="1" applyAlignment="1">
      <alignment horizontal="left" vertical="center" wrapText="1"/>
    </xf>
    <xf numFmtId="164" fontId="9" fillId="3" borderId="19" xfId="1" applyNumberFormat="1" applyFont="1" applyFill="1" applyBorder="1" applyAlignment="1">
      <alignment horizontal="center" vertical="center" wrapText="1"/>
    </xf>
    <xf numFmtId="164" fontId="23" fillId="3" borderId="19" xfId="1" applyNumberFormat="1" applyFont="1" applyFill="1" applyBorder="1" applyAlignment="1">
      <alignment horizontal="left" vertical="center" wrapText="1"/>
    </xf>
    <xf numFmtId="0" fontId="13" fillId="0" borderId="1"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left"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center" vertical="center" wrapText="1"/>
    </xf>
    <xf numFmtId="166" fontId="26" fillId="0" borderId="1" xfId="1"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10" fillId="2"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23" fillId="0" borderId="1" xfId="0" applyFont="1" applyBorder="1" applyAlignment="1">
      <alignment horizontal="center" vertical="center" wrapText="1"/>
    </xf>
    <xf numFmtId="168" fontId="9" fillId="0" borderId="15" xfId="0" applyNumberFormat="1" applyFont="1" applyBorder="1" applyAlignment="1">
      <alignment horizontal="center"/>
    </xf>
    <xf numFmtId="0" fontId="9" fillId="0" borderId="15" xfId="0" applyFont="1" applyBorder="1" applyAlignment="1">
      <alignment horizontal="center"/>
    </xf>
    <xf numFmtId="168" fontId="10" fillId="0" borderId="15" xfId="0" applyNumberFormat="1" applyFont="1" applyBorder="1" applyAlignment="1">
      <alignment horizontal="center"/>
    </xf>
    <xf numFmtId="0" fontId="10" fillId="0" borderId="15" xfId="0" applyFont="1" applyBorder="1" applyAlignment="1">
      <alignment horizontal="center"/>
    </xf>
    <xf numFmtId="0" fontId="46" fillId="0" borderId="15" xfId="0" applyNumberFormat="1" applyFont="1" applyBorder="1" applyAlignment="1">
      <alignment horizontal="center"/>
    </xf>
    <xf numFmtId="0" fontId="46" fillId="0" borderId="15" xfId="0" applyFont="1" applyBorder="1" applyAlignment="1">
      <alignment horizontal="center"/>
    </xf>
    <xf numFmtId="0" fontId="0" fillId="0" borderId="15" xfId="0" applyBorder="1" applyAlignment="1">
      <alignment horizontal="center"/>
    </xf>
    <xf numFmtId="0" fontId="9" fillId="2" borderId="0" xfId="12" applyFont="1" applyFill="1" applyAlignment="1">
      <alignment horizontal="left" vertical="center" wrapText="1"/>
    </xf>
    <xf numFmtId="0" fontId="40" fillId="2" borderId="19" xfId="12" applyFont="1" applyFill="1" applyBorder="1" applyAlignment="1">
      <alignment horizontal="center" vertical="center"/>
    </xf>
    <xf numFmtId="0" fontId="26" fillId="2" borderId="19" xfId="12" applyFont="1" applyFill="1" applyBorder="1" applyAlignment="1">
      <alignment horizontal="center" vertical="center"/>
    </xf>
    <xf numFmtId="0" fontId="26" fillId="2" borderId="19" xfId="12" applyFont="1" applyFill="1" applyBorder="1" applyAlignment="1">
      <alignment horizontal="left" vertical="center" wrapText="1"/>
    </xf>
    <xf numFmtId="0" fontId="26" fillId="2" borderId="19" xfId="12" applyFont="1" applyFill="1" applyBorder="1" applyAlignment="1">
      <alignment horizontal="center" vertical="center" wrapText="1"/>
    </xf>
    <xf numFmtId="49" fontId="26" fillId="2" borderId="19" xfId="12" applyNumberFormat="1" applyFont="1" applyFill="1" applyBorder="1" applyAlignment="1">
      <alignment horizontal="center" vertical="center" wrapText="1"/>
    </xf>
    <xf numFmtId="0" fontId="40" fillId="2" borderId="19" xfId="12" applyFont="1" applyFill="1" applyBorder="1" applyAlignment="1">
      <alignment horizontal="center" vertical="center" wrapText="1"/>
    </xf>
    <xf numFmtId="2" fontId="26" fillId="2" borderId="25" xfId="12" applyNumberFormat="1" applyFont="1" applyFill="1" applyBorder="1" applyAlignment="1">
      <alignment horizontal="center" vertical="center" wrapText="1"/>
    </xf>
    <xf numFmtId="2" fontId="26" fillId="2" borderId="26" xfId="12" applyNumberFormat="1" applyFont="1" applyFill="1" applyBorder="1" applyAlignment="1">
      <alignment horizontal="center" vertical="center" wrapText="1"/>
    </xf>
    <xf numFmtId="2" fontId="26" fillId="2" borderId="27" xfId="12" applyNumberFormat="1" applyFont="1" applyFill="1" applyBorder="1" applyAlignment="1">
      <alignment horizontal="center" vertical="center" wrapText="1"/>
    </xf>
    <xf numFmtId="2" fontId="26" fillId="2" borderId="25" xfId="12" applyNumberFormat="1" applyFont="1" applyFill="1" applyBorder="1" applyAlignment="1">
      <alignment horizontal="left" vertical="center" wrapText="1"/>
    </xf>
    <xf numFmtId="2" fontId="26" fillId="2" borderId="26" xfId="12" applyNumberFormat="1" applyFont="1" applyFill="1" applyBorder="1" applyAlignment="1">
      <alignment horizontal="left" vertical="center" wrapText="1"/>
    </xf>
    <xf numFmtId="2" fontId="26" fillId="2" borderId="27" xfId="12" applyNumberFormat="1" applyFont="1" applyFill="1" applyBorder="1" applyAlignment="1">
      <alignment horizontal="left" vertical="center" wrapText="1"/>
    </xf>
    <xf numFmtId="2" fontId="26" fillId="2" borderId="19" xfId="12" applyNumberFormat="1" applyFont="1" applyFill="1" applyBorder="1" applyAlignment="1">
      <alignment horizontal="center" vertical="center" wrapText="1"/>
    </xf>
    <xf numFmtId="0" fontId="26" fillId="2" borderId="25" xfId="12" applyFont="1" applyFill="1" applyBorder="1" applyAlignment="1">
      <alignment horizontal="center" vertical="center"/>
    </xf>
    <xf numFmtId="0" fontId="26" fillId="2" borderId="26" xfId="12" applyFont="1" applyFill="1" applyBorder="1" applyAlignment="1">
      <alignment horizontal="center" vertical="center"/>
    </xf>
    <xf numFmtId="0" fontId="26" fillId="2" borderId="25" xfId="12" applyFont="1" applyFill="1" applyBorder="1" applyAlignment="1">
      <alignment horizontal="left" vertical="center" wrapText="1"/>
    </xf>
    <xf numFmtId="0" fontId="26" fillId="2" borderId="26" xfId="12" applyFont="1" applyFill="1" applyBorder="1" applyAlignment="1">
      <alignment horizontal="left" vertical="center" wrapText="1"/>
    </xf>
    <xf numFmtId="0" fontId="26" fillId="2" borderId="27" xfId="12" applyFont="1" applyFill="1" applyBorder="1" applyAlignment="1">
      <alignment horizontal="left" vertical="center" wrapText="1"/>
    </xf>
    <xf numFmtId="16" fontId="26" fillId="2" borderId="19" xfId="12" applyNumberFormat="1" applyFont="1" applyFill="1" applyBorder="1" applyAlignment="1">
      <alignment horizontal="center" vertical="center"/>
    </xf>
    <xf numFmtId="0" fontId="26" fillId="2" borderId="27" xfId="12" applyFont="1" applyFill="1" applyBorder="1" applyAlignment="1">
      <alignment horizontal="center" vertical="center"/>
    </xf>
    <xf numFmtId="0" fontId="26" fillId="2" borderId="25" xfId="12" applyFont="1" applyFill="1" applyBorder="1" applyAlignment="1">
      <alignment horizontal="center" vertical="center" wrapText="1"/>
    </xf>
    <xf numFmtId="0" fontId="26" fillId="2" borderId="26" xfId="12" applyFont="1" applyFill="1" applyBorder="1" applyAlignment="1">
      <alignment horizontal="center" vertical="center" wrapText="1"/>
    </xf>
    <xf numFmtId="0" fontId="26" fillId="2" borderId="27" xfId="12" applyFont="1" applyFill="1" applyBorder="1" applyAlignment="1">
      <alignment horizontal="center" vertical="center" wrapText="1"/>
    </xf>
    <xf numFmtId="0" fontId="26" fillId="2" borderId="19" xfId="12" applyFont="1" applyFill="1" applyBorder="1" applyAlignment="1">
      <alignment horizontal="left" vertical="top" wrapText="1"/>
    </xf>
    <xf numFmtId="16" fontId="26" fillId="2" borderId="25" xfId="12" applyNumberFormat="1" applyFont="1" applyFill="1" applyBorder="1" applyAlignment="1">
      <alignment horizontal="center" vertical="center"/>
    </xf>
    <xf numFmtId="16" fontId="26" fillId="2" borderId="26" xfId="12" applyNumberFormat="1" applyFont="1" applyFill="1" applyBorder="1" applyAlignment="1">
      <alignment horizontal="center" vertical="center"/>
    </xf>
    <xf numFmtId="16" fontId="26" fillId="2" borderId="27" xfId="12" applyNumberFormat="1" applyFont="1" applyFill="1" applyBorder="1" applyAlignment="1">
      <alignment horizontal="center" vertical="center"/>
    </xf>
    <xf numFmtId="49" fontId="26" fillId="2" borderId="25" xfId="12" applyNumberFormat="1" applyFont="1" applyFill="1" applyBorder="1" applyAlignment="1">
      <alignment horizontal="center" vertical="center" wrapText="1"/>
    </xf>
    <xf numFmtId="49" fontId="26" fillId="2" borderId="26" xfId="12" applyNumberFormat="1" applyFont="1" applyFill="1" applyBorder="1" applyAlignment="1">
      <alignment horizontal="center" vertical="center" wrapText="1"/>
    </xf>
    <xf numFmtId="49" fontId="26" fillId="2" borderId="27" xfId="12" applyNumberFormat="1" applyFont="1" applyFill="1" applyBorder="1" applyAlignment="1">
      <alignment horizontal="center" vertical="center" wrapText="1"/>
    </xf>
    <xf numFmtId="0" fontId="13" fillId="2" borderId="0" xfId="12" applyFont="1" applyFill="1" applyAlignment="1">
      <alignment horizontal="center" vertical="center"/>
    </xf>
    <xf numFmtId="0" fontId="20" fillId="2" borderId="19" xfId="12" applyFont="1" applyFill="1" applyBorder="1" applyAlignment="1">
      <alignment horizontal="center" vertical="center" wrapText="1"/>
    </xf>
    <xf numFmtId="0" fontId="11" fillId="2" borderId="19" xfId="12" applyFont="1" applyFill="1" applyBorder="1" applyAlignment="1">
      <alignment horizontal="center" vertical="center" wrapText="1"/>
    </xf>
    <xf numFmtId="0" fontId="19" fillId="2" borderId="19" xfId="12" applyFont="1" applyFill="1" applyBorder="1" applyAlignment="1">
      <alignment horizontal="center" vertical="center"/>
    </xf>
    <xf numFmtId="0" fontId="13" fillId="0" borderId="0" xfId="0" applyFont="1" applyAlignment="1">
      <alignment horizontal="center" vertical="center"/>
    </xf>
    <xf numFmtId="0" fontId="19" fillId="0" borderId="1" xfId="0" applyFont="1" applyBorder="1" applyAlignment="1">
      <alignment horizontal="center" vertical="center" wrapText="1"/>
    </xf>
    <xf numFmtId="0" fontId="9" fillId="2" borderId="0" xfId="0" applyFont="1" applyFill="1" applyAlignment="1">
      <alignment horizontal="left" vertical="center" wrapText="1"/>
    </xf>
    <xf numFmtId="43" fontId="11" fillId="0" borderId="2" xfId="1" applyFont="1" applyBorder="1" applyAlignment="1">
      <alignment horizontal="center" vertical="center" wrapText="1"/>
    </xf>
    <xf numFmtId="43" fontId="11" fillId="0" borderId="3" xfId="1" applyFont="1" applyBorder="1" applyAlignment="1">
      <alignment horizontal="center" vertical="center" wrapText="1"/>
    </xf>
    <xf numFmtId="43" fontId="11" fillId="0" borderId="4" xfId="1" applyFont="1" applyBorder="1" applyAlignment="1">
      <alignment horizontal="center" vertical="center" wrapText="1"/>
    </xf>
    <xf numFmtId="43" fontId="11" fillId="2" borderId="2" xfId="1" applyFont="1" applyFill="1" applyBorder="1" applyAlignment="1">
      <alignment horizontal="center" vertical="center" wrapText="1"/>
    </xf>
    <xf numFmtId="43" fontId="11" fillId="2" borderId="3" xfId="1" applyFont="1" applyFill="1" applyBorder="1" applyAlignment="1">
      <alignment horizontal="center" vertical="center" wrapText="1"/>
    </xf>
    <xf numFmtId="43" fontId="11" fillId="2" borderId="4" xfId="1" applyFont="1" applyFill="1" applyBorder="1" applyAlignment="1">
      <alignment horizontal="center" vertical="center" wrapText="1"/>
    </xf>
    <xf numFmtId="43" fontId="26" fillId="2" borderId="2" xfId="1" applyFont="1" applyFill="1" applyBorder="1" applyAlignment="1">
      <alignment horizontal="center" vertical="center" wrapText="1"/>
    </xf>
    <xf numFmtId="43" fontId="26" fillId="2" borderId="3" xfId="1" applyFont="1" applyFill="1" applyBorder="1" applyAlignment="1">
      <alignment horizontal="center" vertical="center" wrapText="1"/>
    </xf>
    <xf numFmtId="43" fontId="26" fillId="2" borderId="4" xfId="1" applyFont="1" applyFill="1" applyBorder="1" applyAlignment="1">
      <alignment horizontal="center" vertical="center" wrapText="1"/>
    </xf>
    <xf numFmtId="0" fontId="15" fillId="2" borderId="1" xfId="0" applyFont="1" applyFill="1" applyBorder="1" applyAlignment="1">
      <alignment horizontal="left" vertical="center"/>
    </xf>
    <xf numFmtId="167" fontId="15" fillId="2" borderId="1" xfId="0" applyNumberFormat="1" applyFont="1" applyFill="1" applyBorder="1" applyAlignment="1">
      <alignment horizontal="center" vertical="center"/>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5" xfId="0" applyFont="1" applyBorder="1" applyAlignment="1">
      <alignment horizontal="center" vertical="center" wrapText="1"/>
    </xf>
    <xf numFmtId="0" fontId="10" fillId="0" borderId="0" xfId="0" applyFont="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3" fillId="0" borderId="0" xfId="0" applyFont="1" applyAlignment="1">
      <alignment horizontal="center" vertical="center" wrapText="1"/>
    </xf>
    <xf numFmtId="0" fontId="13" fillId="2" borderId="0" xfId="0" applyFont="1" applyFill="1" applyAlignment="1">
      <alignment horizontal="center" vertical="center"/>
    </xf>
    <xf numFmtId="0" fontId="11" fillId="2" borderId="1" xfId="0" applyFont="1" applyFill="1" applyBorder="1" applyAlignment="1">
      <alignment horizontal="center" vertical="center" wrapText="1"/>
    </xf>
    <xf numFmtId="0" fontId="19"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49" fontId="11" fillId="2" borderId="2" xfId="0" applyNumberFormat="1" applyFont="1" applyFill="1" applyBorder="1" applyAlignment="1">
      <alignment horizontal="left" vertical="center" wrapText="1"/>
    </xf>
    <xf numFmtId="49" fontId="11" fillId="2" borderId="3" xfId="0" applyNumberFormat="1" applyFont="1" applyFill="1" applyBorder="1" applyAlignment="1">
      <alignment horizontal="left" vertical="center" wrapText="1"/>
    </xf>
    <xf numFmtId="49" fontId="11" fillId="2" borderId="4" xfId="0" applyNumberFormat="1" applyFont="1" applyFill="1" applyBorder="1" applyAlignment="1">
      <alignment horizontal="lef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26" fillId="2" borderId="2"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4" xfId="0" applyFont="1" applyFill="1" applyBorder="1" applyAlignment="1">
      <alignment horizontal="left" vertical="center" wrapText="1"/>
    </xf>
    <xf numFmtId="49" fontId="11" fillId="2" borderId="2" xfId="0" applyNumberFormat="1" applyFont="1" applyFill="1" applyBorder="1" applyAlignment="1">
      <alignment horizontal="left" vertical="top" wrapText="1"/>
    </xf>
    <xf numFmtId="49" fontId="11" fillId="2" borderId="3" xfId="0" applyNumberFormat="1" applyFont="1" applyFill="1" applyBorder="1" applyAlignment="1">
      <alignment horizontal="left" vertical="top" wrapText="1"/>
    </xf>
    <xf numFmtId="49" fontId="11" fillId="2" borderId="4" xfId="0" applyNumberFormat="1" applyFont="1" applyFill="1" applyBorder="1" applyAlignment="1">
      <alignment horizontal="left" vertical="top" wrapText="1"/>
    </xf>
    <xf numFmtId="49" fontId="11" fillId="2" borderId="1" xfId="0" applyNumberFormat="1" applyFont="1" applyFill="1" applyBorder="1" applyAlignment="1">
      <alignment horizontal="justify" vertical="center" wrapText="1"/>
    </xf>
    <xf numFmtId="0" fontId="19" fillId="2" borderId="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16" fontId="11" fillId="2" borderId="2" xfId="0" applyNumberFormat="1" applyFont="1" applyFill="1" applyBorder="1" applyAlignment="1">
      <alignment horizontal="center" vertical="center"/>
    </xf>
    <xf numFmtId="16" fontId="11" fillId="2" borderId="3" xfId="0" applyNumberFormat="1" applyFont="1" applyFill="1" applyBorder="1" applyAlignment="1">
      <alignment horizontal="center" vertical="center"/>
    </xf>
    <xf numFmtId="16" fontId="11" fillId="2" borderId="4" xfId="0" applyNumberFormat="1"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2" fontId="11" fillId="2" borderId="2" xfId="0" applyNumberFormat="1" applyFont="1" applyFill="1" applyBorder="1" applyAlignment="1">
      <alignment horizontal="left" vertical="center" wrapText="1"/>
    </xf>
    <xf numFmtId="2" fontId="11" fillId="2" borderId="3" xfId="0" applyNumberFormat="1" applyFont="1" applyFill="1" applyBorder="1" applyAlignment="1">
      <alignment horizontal="left" vertical="center" wrapText="1"/>
    </xf>
    <xf numFmtId="2" fontId="11" fillId="2" borderId="4" xfId="0" applyNumberFormat="1" applyFont="1" applyFill="1" applyBorder="1" applyAlignment="1">
      <alignment horizontal="left" vertical="center" wrapText="1"/>
    </xf>
    <xf numFmtId="49" fontId="11" fillId="2" borderId="2"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0" fontId="26" fillId="2" borderId="2" xfId="0" applyFont="1" applyFill="1" applyBorder="1" applyAlignment="1">
      <alignment horizontal="left" vertical="top" wrapText="1"/>
    </xf>
    <xf numFmtId="0" fontId="26" fillId="2" borderId="3" xfId="0" applyFont="1" applyFill="1" applyBorder="1" applyAlignment="1">
      <alignment horizontal="left" vertical="top" wrapText="1"/>
    </xf>
    <xf numFmtId="0" fontId="26" fillId="2" borderId="4" xfId="0" applyFont="1" applyFill="1" applyBorder="1" applyAlignment="1">
      <alignment horizontal="left" vertical="top"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1" xfId="0" applyFont="1" applyFill="1" applyBorder="1" applyAlignment="1">
      <alignment horizontal="center" vertical="center"/>
    </xf>
    <xf numFmtId="0" fontId="11" fillId="2" borderId="6"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14"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5" xfId="0" applyFont="1" applyFill="1" applyBorder="1" applyAlignment="1">
      <alignment horizontal="center" vertical="center" wrapText="1"/>
    </xf>
    <xf numFmtId="49" fontId="11" fillId="6" borderId="2" xfId="0" applyNumberFormat="1" applyFont="1" applyFill="1" applyBorder="1" applyAlignment="1">
      <alignment horizontal="left" vertical="top" wrapText="1"/>
    </xf>
    <xf numFmtId="49" fontId="11" fillId="6" borderId="3" xfId="0" applyNumberFormat="1" applyFont="1" applyFill="1" applyBorder="1" applyAlignment="1">
      <alignment horizontal="left" vertical="top" wrapText="1"/>
    </xf>
    <xf numFmtId="49" fontId="11" fillId="6" borderId="4" xfId="0" applyNumberFormat="1" applyFont="1" applyFill="1" applyBorder="1" applyAlignment="1">
      <alignment horizontal="left" vertical="top" wrapText="1"/>
    </xf>
    <xf numFmtId="0" fontId="19" fillId="5" borderId="6"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5" borderId="10"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9" fillId="5" borderId="11" xfId="0" applyFont="1" applyFill="1" applyBorder="1" applyAlignment="1">
      <alignment horizontal="center" vertical="center" wrapText="1"/>
    </xf>
    <xf numFmtId="2" fontId="11" fillId="6" borderId="2" xfId="0" applyNumberFormat="1" applyFont="1" applyFill="1" applyBorder="1" applyAlignment="1">
      <alignment horizontal="left" vertical="center" wrapText="1"/>
    </xf>
    <xf numFmtId="2" fontId="11" fillId="6" borderId="3" xfId="0" applyNumberFormat="1" applyFont="1" applyFill="1" applyBorder="1" applyAlignment="1">
      <alignment horizontal="left" vertical="center" wrapText="1"/>
    </xf>
    <xf numFmtId="2" fontId="11" fillId="6" borderId="4" xfId="0" applyNumberFormat="1" applyFont="1" applyFill="1" applyBorder="1" applyAlignment="1">
      <alignment horizontal="left" vertical="center" wrapText="1"/>
    </xf>
    <xf numFmtId="49" fontId="11" fillId="6" borderId="2" xfId="0" applyNumberFormat="1" applyFont="1" applyFill="1" applyBorder="1" applyAlignment="1">
      <alignment horizontal="left" vertical="center" wrapText="1"/>
    </xf>
    <xf numFmtId="49" fontId="11" fillId="6" borderId="3" xfId="0" applyNumberFormat="1" applyFont="1" applyFill="1" applyBorder="1" applyAlignment="1">
      <alignment horizontal="left" vertical="center" wrapText="1"/>
    </xf>
    <xf numFmtId="49" fontId="11" fillId="6" borderId="4" xfId="0" applyNumberFormat="1" applyFont="1" applyFill="1" applyBorder="1" applyAlignment="1">
      <alignment horizontal="left" vertical="center" wrapText="1"/>
    </xf>
    <xf numFmtId="0" fontId="19" fillId="7" borderId="6" xfId="0" applyFont="1" applyFill="1" applyBorder="1" applyAlignment="1">
      <alignment horizontal="center" vertical="center"/>
    </xf>
    <xf numFmtId="0" fontId="19" fillId="7" borderId="12" xfId="0" applyFont="1" applyFill="1" applyBorder="1" applyAlignment="1">
      <alignment horizontal="center" vertical="center"/>
    </xf>
    <xf numFmtId="0" fontId="19" fillId="7" borderId="7" xfId="0" applyFont="1" applyFill="1" applyBorder="1" applyAlignment="1">
      <alignment horizontal="center" vertical="center"/>
    </xf>
    <xf numFmtId="0" fontId="19" fillId="7" borderId="8" xfId="0" applyFont="1" applyFill="1" applyBorder="1" applyAlignment="1">
      <alignment horizontal="center" vertical="center"/>
    </xf>
    <xf numFmtId="0" fontId="19" fillId="7" borderId="0" xfId="0" applyFont="1" applyFill="1" applyBorder="1" applyAlignment="1">
      <alignment horizontal="center" vertical="center"/>
    </xf>
    <xf numFmtId="0" fontId="19" fillId="7" borderId="9" xfId="0" applyFont="1" applyFill="1" applyBorder="1" applyAlignment="1">
      <alignment horizontal="center" vertical="center"/>
    </xf>
    <xf numFmtId="0" fontId="19" fillId="7" borderId="10" xfId="0" applyFont="1" applyFill="1" applyBorder="1" applyAlignment="1">
      <alignment horizontal="center" vertical="center"/>
    </xf>
    <xf numFmtId="0" fontId="19" fillId="7" borderId="13" xfId="0" applyFont="1" applyFill="1" applyBorder="1" applyAlignment="1">
      <alignment horizontal="center" vertical="center"/>
    </xf>
    <xf numFmtId="0" fontId="19" fillId="7" borderId="11" xfId="0" applyFont="1" applyFill="1" applyBorder="1" applyAlignment="1">
      <alignment horizontal="center" vertical="center"/>
    </xf>
    <xf numFmtId="0" fontId="11" fillId="3" borderId="6"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1" xfId="0" applyFont="1" applyFill="1" applyBorder="1" applyAlignment="1">
      <alignment horizontal="left" vertical="center" wrapText="1"/>
    </xf>
  </cellXfs>
  <cellStyles count="25">
    <cellStyle name="Обычный" xfId="0" builtinId="0"/>
    <cellStyle name="Обычный 2" xfId="3"/>
    <cellStyle name="Обычный 2 2" xfId="5"/>
    <cellStyle name="Обычный 2 2 2" xfId="14"/>
    <cellStyle name="Обычный 2 2 2 2" xfId="21"/>
    <cellStyle name="Обычный 2 2 2 3" xfId="22"/>
    <cellStyle name="Обычный 2 2 2 3 2" xfId="23"/>
    <cellStyle name="Обычный 2 2 2 3 2 2" xfId="24"/>
    <cellStyle name="Обычный 2 2 3" xfId="17"/>
    <cellStyle name="Обычный 2 3" xfId="12"/>
    <cellStyle name="Обычный 2 4" xfId="16"/>
    <cellStyle name="Обычный 3" xfId="4"/>
    <cellStyle name="Обычный 4" xfId="2"/>
    <cellStyle name="Обычный 4 2" xfId="15"/>
    <cellStyle name="Финансовый" xfId="1" builtinId="3"/>
    <cellStyle name="Финансовый 2" xfId="8"/>
    <cellStyle name="Финансовый 2 2" xfId="6"/>
    <cellStyle name="Финансовый 2 2 2" xfId="7"/>
    <cellStyle name="Финансовый 2 2 3" xfId="9"/>
    <cellStyle name="Финансовый 2 3" xfId="13"/>
    <cellStyle name="Финансовый 2 4" xfId="18"/>
    <cellStyle name="Финансовый 3" xfId="10"/>
    <cellStyle name="Финансовый 3 2" xfId="19"/>
    <cellStyle name="Финансовый 4" xfId="11"/>
    <cellStyle name="Финансовый 4 2" xfId="20"/>
  </cellStyles>
  <dxfs count="0"/>
  <tableStyles count="0" defaultTableStyle="TableStyleMedium2" defaultPivotStyle="PivotStyleLight16"/>
  <colors>
    <mruColors>
      <color rgb="FFFFCCFF"/>
      <color rgb="FFCCECFF"/>
      <color rgb="FF0000FF"/>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val>
            <c:numRef>
              <c:f>'таблица 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'таблица 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'таблица 2'!#REF!</c15:sqref>
                        </c15:formulaRef>
                      </c:ext>
                    </c:extLst>
                  </c:multiLvlStrRef>
                </c15:cat>
              </c15:filteredCategoryTitle>
            </c:ex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tx>
            <c:strRef>
              <c:f>'[1]таблица 2'!$B$343</c:f>
              <c:strCache>
                <c:ptCount val="1"/>
                <c:pt idx="0">
                  <c:v>Сумма, тыс. рублей</c:v>
                </c:pt>
              </c:strCache>
            </c:strRef>
          </c:tx>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cat>
            <c:strRef>
              <c:f>'[1]таблица 2'!$A$344:$A$347</c:f>
              <c:strCache>
                <c:ptCount val="4"/>
                <c:pt idx="0">
                  <c:v>Федеральный бюджет </c:v>
                </c:pt>
                <c:pt idx="1">
                  <c:v>Бюджет Ханты-Мансийского автономного округа - Югры</c:v>
                </c:pt>
                <c:pt idx="2">
                  <c:v>Бюджет муниципального образования Нефтеюганский район</c:v>
                </c:pt>
                <c:pt idx="3">
                  <c:v>Иные источники</c:v>
                </c:pt>
              </c:strCache>
            </c:strRef>
          </c:cat>
          <c:val>
            <c:numRef>
              <c:f>'[1]таблица 2'!$B$344:$B$347</c:f>
              <c:numCache>
                <c:formatCode>General</c:formatCode>
                <c:ptCount val="4"/>
                <c:pt idx="0">
                  <c:v>5082.6000000000004</c:v>
                </c:pt>
                <c:pt idx="1">
                  <c:v>3003.2559999999999</c:v>
                </c:pt>
                <c:pt idx="2">
                  <c:v>691617.26302999991</c:v>
                </c:pt>
                <c:pt idx="3">
                  <c:v>250939.85058999999</c:v>
                </c:pt>
              </c:numCache>
            </c:numRef>
          </c:val>
          <c:extLs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ownloads/&#1050;&#1059;&#1051;&#1068;&#1058;&#1059;&#1056;&#1040;/4%202022%20&#1050;&#1091;&#1083;&#1100;&#1090;&#1091;&#1088;&#1072;/&#1087;&#1088;&#1086;&#1077;&#1082;&#1090;%20&#1076;&#1083;&#1103;%20&#1051;&#1103;&#1081;&#1089;&#1072;&#1085;/&#1055;&#1056;&#1054;&#1045;&#1050;&#1058;%20&#1085;&#1072;%2001.06.2022%20%20&#1050;&#1059;&#1051;&#1068;&#1058;&#1059;&#1056;&#1040;%20&#1087;&#1086;%20&#1056;&#1044;%20&#8470;%207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sheetName val="таблица 3"/>
      <sheetName val="таблица 4"/>
      <sheetName val="Таблица 5"/>
      <sheetName val="Таблица 6"/>
      <sheetName val="таблица 7"/>
      <sheetName val="таблица 8"/>
      <sheetName val="пост 2372 от 30.12.2022"/>
    </sheetNames>
    <sheetDataSet>
      <sheetData sheetId="0" refreshError="1"/>
      <sheetData sheetId="1">
        <row r="343">
          <cell r="B343" t="str">
            <v>Сумма, тыс. рублей</v>
          </cell>
        </row>
        <row r="344">
          <cell r="A344" t="str">
            <v xml:space="preserve">Федеральный бюджет </v>
          </cell>
          <cell r="B344">
            <v>5082.6000000000004</v>
          </cell>
        </row>
        <row r="345">
          <cell r="A345" t="str">
            <v>Бюджет Ханты-Мансийского автономного округа - Югры</v>
          </cell>
          <cell r="B345">
            <v>3003.2559999999999</v>
          </cell>
        </row>
        <row r="346">
          <cell r="A346" t="str">
            <v>Бюджет муниципального образования Нефтеюганский район</v>
          </cell>
          <cell r="B346">
            <v>691617.26302999991</v>
          </cell>
        </row>
        <row r="347">
          <cell r="A347" t="str">
            <v>Иные источники</v>
          </cell>
          <cell r="B347">
            <v>250939.85058999999</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9"/>
  <sheetViews>
    <sheetView view="pageBreakPreview" topLeftCell="A33" zoomScale="85" zoomScaleSheetLayoutView="85" workbookViewId="0">
      <selection activeCell="B38" sqref="B38:C38"/>
    </sheetView>
  </sheetViews>
  <sheetFormatPr defaultRowHeight="15" outlineLevelRow="1" x14ac:dyDescent="0.25"/>
  <cols>
    <col min="1" max="1" width="13.7109375" customWidth="1"/>
    <col min="2" max="2" width="15.140625" customWidth="1"/>
    <col min="3" max="3" width="39.5703125" customWidth="1"/>
    <col min="5" max="5" width="12.42578125" customWidth="1"/>
    <col min="6" max="6" width="8.85546875" customWidth="1"/>
    <col min="7" max="7" width="10.140625" customWidth="1"/>
    <col min="8" max="8" width="4.85546875" customWidth="1"/>
    <col min="9" max="9" width="11.140625" customWidth="1"/>
    <col min="10" max="10" width="8.5703125" customWidth="1"/>
    <col min="11" max="11" width="8.140625" customWidth="1"/>
    <col min="12" max="12" width="11.140625" customWidth="1"/>
    <col min="13" max="13" width="13.28515625" customWidth="1"/>
    <col min="14" max="14" width="10.140625" customWidth="1"/>
    <col min="15" max="15" width="6.42578125" customWidth="1"/>
    <col min="16" max="16" width="16.140625" customWidth="1"/>
    <col min="17" max="17" width="4.7109375" customWidth="1"/>
    <col min="18" max="18" width="5.85546875" customWidth="1"/>
    <col min="19" max="19" width="5.42578125" customWidth="1"/>
    <col min="20" max="21" width="8" customWidth="1"/>
    <col min="22" max="22" width="23.140625" customWidth="1"/>
  </cols>
  <sheetData>
    <row r="1" spans="1:22" x14ac:dyDescent="0.25">
      <c r="T1" s="68" t="s">
        <v>177</v>
      </c>
    </row>
    <row r="2" spans="1:22" x14ac:dyDescent="0.25">
      <c r="T2" s="68" t="s">
        <v>176</v>
      </c>
    </row>
    <row r="3" spans="1:22" x14ac:dyDescent="0.25">
      <c r="T3" s="68" t="s">
        <v>178</v>
      </c>
    </row>
    <row r="4" spans="1:22" x14ac:dyDescent="0.25">
      <c r="T4" s="68"/>
    </row>
    <row r="5" spans="1:22" x14ac:dyDescent="0.25">
      <c r="T5" s="68"/>
    </row>
    <row r="6" spans="1:22" ht="15.75" x14ac:dyDescent="0.25">
      <c r="A6" s="98"/>
      <c r="T6" s="68"/>
    </row>
    <row r="7" spans="1:22" ht="41.25" customHeight="1" x14ac:dyDescent="0.25">
      <c r="A7" s="337" t="s">
        <v>301</v>
      </c>
      <c r="B7" s="338"/>
      <c r="C7" s="338"/>
      <c r="D7" s="338"/>
      <c r="E7" s="338"/>
      <c r="F7" s="338"/>
      <c r="G7" s="338"/>
      <c r="H7" s="338"/>
      <c r="I7" s="338"/>
      <c r="J7" s="338"/>
      <c r="K7" s="338"/>
      <c r="L7" s="338"/>
      <c r="M7" s="338"/>
      <c r="N7" s="338"/>
      <c r="O7" s="338"/>
      <c r="P7" s="338"/>
      <c r="Q7" s="338"/>
      <c r="R7" s="338"/>
      <c r="S7" s="338"/>
      <c r="T7" s="338"/>
      <c r="U7" s="338"/>
      <c r="V7" s="338"/>
    </row>
    <row r="9" spans="1:22" ht="51" customHeight="1" x14ac:dyDescent="0.25">
      <c r="A9" s="1" t="s">
        <v>222</v>
      </c>
      <c r="B9" s="370" t="s">
        <v>302</v>
      </c>
      <c r="C9" s="370"/>
      <c r="D9" s="370"/>
      <c r="E9" s="370"/>
      <c r="F9" s="370"/>
      <c r="G9" s="370"/>
      <c r="H9" s="370"/>
      <c r="I9" s="370"/>
      <c r="J9" s="370"/>
      <c r="K9" s="370"/>
      <c r="L9" s="370"/>
      <c r="M9" s="370" t="s">
        <v>241</v>
      </c>
      <c r="N9" s="370"/>
      <c r="O9" s="370"/>
      <c r="P9" s="370"/>
      <c r="Q9" s="370" t="s">
        <v>292</v>
      </c>
      <c r="R9" s="370"/>
      <c r="S9" s="370"/>
      <c r="T9" s="370"/>
      <c r="U9" s="370"/>
      <c r="V9" s="370"/>
    </row>
    <row r="10" spans="1:22" ht="47.25" customHeight="1" x14ac:dyDescent="0.25">
      <c r="A10" s="93" t="s">
        <v>223</v>
      </c>
      <c r="B10" s="370" t="s">
        <v>0</v>
      </c>
      <c r="C10" s="370"/>
      <c r="D10" s="370"/>
      <c r="E10" s="370"/>
      <c r="F10" s="370"/>
      <c r="G10" s="370"/>
      <c r="H10" s="370"/>
      <c r="I10" s="370"/>
      <c r="J10" s="370"/>
      <c r="K10" s="370"/>
      <c r="L10" s="370"/>
      <c r="M10" s="370"/>
      <c r="N10" s="370"/>
      <c r="O10" s="370"/>
      <c r="P10" s="370"/>
      <c r="Q10" s="370"/>
      <c r="R10" s="370"/>
      <c r="S10" s="370"/>
      <c r="T10" s="370"/>
      <c r="U10" s="370"/>
      <c r="V10" s="370"/>
    </row>
    <row r="11" spans="1:22" ht="48.75" customHeight="1" x14ac:dyDescent="0.25">
      <c r="A11" s="93" t="s">
        <v>224</v>
      </c>
      <c r="B11" s="376" t="s">
        <v>183</v>
      </c>
      <c r="C11" s="376"/>
      <c r="D11" s="376"/>
      <c r="E11" s="376"/>
      <c r="F11" s="376"/>
      <c r="G11" s="376"/>
      <c r="H11" s="376"/>
      <c r="I11" s="376"/>
      <c r="J11" s="376"/>
      <c r="K11" s="376"/>
      <c r="L11" s="376"/>
      <c r="M11" s="376"/>
      <c r="N11" s="376"/>
      <c r="O11" s="376"/>
      <c r="P11" s="376"/>
      <c r="Q11" s="376"/>
      <c r="R11" s="376"/>
      <c r="S11" s="376"/>
      <c r="T11" s="376"/>
      <c r="U11" s="376"/>
      <c r="V11" s="376"/>
    </row>
    <row r="12" spans="1:22" ht="60" customHeight="1" x14ac:dyDescent="0.25">
      <c r="A12" s="93" t="s">
        <v>225</v>
      </c>
      <c r="B12" s="370" t="s">
        <v>8</v>
      </c>
      <c r="C12" s="370"/>
      <c r="D12" s="370"/>
      <c r="E12" s="370"/>
      <c r="F12" s="370"/>
      <c r="G12" s="370"/>
      <c r="H12" s="370"/>
      <c r="I12" s="370"/>
      <c r="J12" s="370"/>
      <c r="K12" s="370"/>
      <c r="L12" s="370"/>
      <c r="M12" s="370"/>
      <c r="N12" s="370"/>
      <c r="O12" s="370"/>
      <c r="P12" s="370"/>
      <c r="Q12" s="370"/>
      <c r="R12" s="370"/>
      <c r="S12" s="370"/>
      <c r="T12" s="370"/>
      <c r="U12" s="370"/>
      <c r="V12" s="370"/>
    </row>
    <row r="13" spans="1:22" x14ac:dyDescent="0.25">
      <c r="A13" s="316" t="s">
        <v>226</v>
      </c>
      <c r="B13" s="370" t="s">
        <v>218</v>
      </c>
      <c r="C13" s="370"/>
      <c r="D13" s="370"/>
      <c r="E13" s="370"/>
      <c r="F13" s="370"/>
      <c r="G13" s="370"/>
      <c r="H13" s="370"/>
      <c r="I13" s="370"/>
      <c r="J13" s="370"/>
      <c r="K13" s="370"/>
      <c r="L13" s="370"/>
      <c r="M13" s="370"/>
      <c r="N13" s="370"/>
      <c r="O13" s="370"/>
      <c r="P13" s="370"/>
      <c r="Q13" s="370"/>
      <c r="R13" s="370"/>
      <c r="S13" s="370"/>
      <c r="T13" s="370"/>
      <c r="U13" s="370"/>
      <c r="V13" s="370"/>
    </row>
    <row r="14" spans="1:22" x14ac:dyDescent="0.25">
      <c r="A14" s="316"/>
      <c r="B14" s="375" t="s">
        <v>215</v>
      </c>
      <c r="C14" s="375"/>
      <c r="D14" s="375"/>
      <c r="E14" s="375"/>
      <c r="F14" s="375"/>
      <c r="G14" s="375"/>
      <c r="H14" s="375"/>
      <c r="I14" s="375"/>
      <c r="J14" s="375"/>
      <c r="K14" s="375"/>
      <c r="L14" s="375"/>
      <c r="M14" s="375"/>
      <c r="N14" s="375"/>
      <c r="O14" s="375"/>
      <c r="P14" s="375"/>
      <c r="Q14" s="375"/>
      <c r="R14" s="375"/>
      <c r="S14" s="375"/>
      <c r="T14" s="375"/>
      <c r="U14" s="375"/>
      <c r="V14" s="375"/>
    </row>
    <row r="15" spans="1:22" x14ac:dyDescent="0.25">
      <c r="A15" s="316"/>
      <c r="B15" s="375" t="s">
        <v>216</v>
      </c>
      <c r="C15" s="375"/>
      <c r="D15" s="375"/>
      <c r="E15" s="375"/>
      <c r="F15" s="375"/>
      <c r="G15" s="375"/>
      <c r="H15" s="375"/>
      <c r="I15" s="375"/>
      <c r="J15" s="375"/>
      <c r="K15" s="375"/>
      <c r="L15" s="375"/>
      <c r="M15" s="375"/>
      <c r="N15" s="375"/>
      <c r="O15" s="375"/>
      <c r="P15" s="375"/>
      <c r="Q15" s="375"/>
      <c r="R15" s="375"/>
      <c r="S15" s="375"/>
      <c r="T15" s="375"/>
      <c r="U15" s="375"/>
      <c r="V15" s="375"/>
    </row>
    <row r="16" spans="1:22" x14ac:dyDescent="0.25">
      <c r="A16" s="316"/>
      <c r="B16" s="375" t="s">
        <v>217</v>
      </c>
      <c r="C16" s="375"/>
      <c r="D16" s="375"/>
      <c r="E16" s="375"/>
      <c r="F16" s="375"/>
      <c r="G16" s="375"/>
      <c r="H16" s="375"/>
      <c r="I16" s="375"/>
      <c r="J16" s="375"/>
      <c r="K16" s="375"/>
      <c r="L16" s="375"/>
      <c r="M16" s="375"/>
      <c r="N16" s="375"/>
      <c r="O16" s="375"/>
      <c r="P16" s="375"/>
      <c r="Q16" s="375"/>
      <c r="R16" s="375"/>
      <c r="S16" s="375"/>
      <c r="T16" s="375"/>
      <c r="U16" s="375"/>
      <c r="V16" s="375"/>
    </row>
    <row r="17" spans="1:22" ht="25.5" x14ac:dyDescent="0.25">
      <c r="A17" s="93" t="s">
        <v>227</v>
      </c>
      <c r="B17" s="374" t="s">
        <v>211</v>
      </c>
      <c r="C17" s="374"/>
      <c r="D17" s="374"/>
      <c r="E17" s="374"/>
      <c r="F17" s="374"/>
      <c r="G17" s="374"/>
      <c r="H17" s="374"/>
      <c r="I17" s="374"/>
      <c r="J17" s="374"/>
      <c r="K17" s="374"/>
      <c r="L17" s="374"/>
      <c r="M17" s="374"/>
      <c r="N17" s="374"/>
      <c r="O17" s="374"/>
      <c r="P17" s="374"/>
      <c r="Q17" s="374"/>
      <c r="R17" s="374"/>
      <c r="S17" s="374"/>
      <c r="T17" s="374"/>
      <c r="U17" s="374"/>
      <c r="V17" s="374"/>
    </row>
    <row r="18" spans="1:22" ht="48.75" customHeight="1" x14ac:dyDescent="0.25">
      <c r="A18" s="93" t="s">
        <v>228</v>
      </c>
      <c r="B18" s="370" t="s">
        <v>1</v>
      </c>
      <c r="C18" s="370"/>
      <c r="D18" s="370"/>
      <c r="E18" s="370"/>
      <c r="F18" s="370"/>
      <c r="G18" s="370"/>
      <c r="H18" s="370"/>
      <c r="I18" s="370"/>
      <c r="J18" s="370"/>
      <c r="K18" s="370"/>
      <c r="L18" s="370"/>
      <c r="M18" s="370"/>
      <c r="N18" s="370"/>
      <c r="O18" s="370"/>
      <c r="P18" s="370"/>
      <c r="Q18" s="370"/>
      <c r="R18" s="370"/>
      <c r="S18" s="370"/>
      <c r="T18" s="370"/>
      <c r="U18" s="370"/>
      <c r="V18" s="370"/>
    </row>
    <row r="19" spans="1:22" ht="21.75" customHeight="1" x14ac:dyDescent="0.25">
      <c r="A19" s="316" t="s">
        <v>229</v>
      </c>
      <c r="B19" s="370" t="s">
        <v>2</v>
      </c>
      <c r="C19" s="370"/>
      <c r="D19" s="370"/>
      <c r="E19" s="370"/>
      <c r="F19" s="370"/>
      <c r="G19" s="370"/>
      <c r="H19" s="370"/>
      <c r="I19" s="370"/>
      <c r="J19" s="370"/>
      <c r="K19" s="370"/>
      <c r="L19" s="370"/>
      <c r="M19" s="370"/>
      <c r="N19" s="370"/>
      <c r="O19" s="370"/>
      <c r="P19" s="370"/>
      <c r="Q19" s="370"/>
      <c r="R19" s="370"/>
      <c r="S19" s="370"/>
      <c r="T19" s="370"/>
      <c r="U19" s="370"/>
      <c r="V19" s="370"/>
    </row>
    <row r="20" spans="1:22" ht="21.75" customHeight="1" x14ac:dyDescent="0.25">
      <c r="A20" s="316"/>
      <c r="B20" s="370" t="s">
        <v>3</v>
      </c>
      <c r="C20" s="370"/>
      <c r="D20" s="370"/>
      <c r="E20" s="370"/>
      <c r="F20" s="370"/>
      <c r="G20" s="370"/>
      <c r="H20" s="370"/>
      <c r="I20" s="370"/>
      <c r="J20" s="370"/>
      <c r="K20" s="370"/>
      <c r="L20" s="370"/>
      <c r="M20" s="370"/>
      <c r="N20" s="370"/>
      <c r="O20" s="370"/>
      <c r="P20" s="370"/>
      <c r="Q20" s="370"/>
      <c r="R20" s="370"/>
      <c r="S20" s="370"/>
      <c r="T20" s="370"/>
      <c r="U20" s="370"/>
      <c r="V20" s="370"/>
    </row>
    <row r="21" spans="1:22" ht="21.75" customHeight="1" x14ac:dyDescent="0.25">
      <c r="A21" s="316"/>
      <c r="B21" s="370" t="s">
        <v>4</v>
      </c>
      <c r="C21" s="370"/>
      <c r="D21" s="370"/>
      <c r="E21" s="370"/>
      <c r="F21" s="370"/>
      <c r="G21" s="370"/>
      <c r="H21" s="370"/>
      <c r="I21" s="370"/>
      <c r="J21" s="370"/>
      <c r="K21" s="370"/>
      <c r="L21" s="370"/>
      <c r="M21" s="370"/>
      <c r="N21" s="370"/>
      <c r="O21" s="370"/>
      <c r="P21" s="370"/>
      <c r="Q21" s="370"/>
      <c r="R21" s="370"/>
      <c r="S21" s="370"/>
      <c r="T21" s="370"/>
      <c r="U21" s="370"/>
      <c r="V21" s="370"/>
    </row>
    <row r="22" spans="1:22" x14ac:dyDescent="0.25">
      <c r="A22" s="316" t="s">
        <v>230</v>
      </c>
      <c r="B22" s="370" t="s">
        <v>219</v>
      </c>
      <c r="C22" s="370"/>
      <c r="D22" s="370"/>
      <c r="E22" s="370"/>
      <c r="F22" s="370"/>
      <c r="G22" s="370"/>
      <c r="H22" s="370"/>
      <c r="I22" s="370"/>
      <c r="J22" s="370"/>
      <c r="K22" s="370"/>
      <c r="L22" s="370"/>
      <c r="M22" s="370"/>
      <c r="N22" s="370"/>
      <c r="O22" s="370"/>
      <c r="P22" s="370"/>
      <c r="Q22" s="370"/>
      <c r="R22" s="370"/>
      <c r="S22" s="370"/>
      <c r="T22" s="370"/>
      <c r="U22" s="370"/>
      <c r="V22" s="370"/>
    </row>
    <row r="23" spans="1:22" x14ac:dyDescent="0.25">
      <c r="A23" s="316"/>
      <c r="B23" s="371" t="s">
        <v>220</v>
      </c>
      <c r="C23" s="371"/>
      <c r="D23" s="371"/>
      <c r="E23" s="371"/>
      <c r="F23" s="371"/>
      <c r="G23" s="371"/>
      <c r="H23" s="371"/>
      <c r="I23" s="371"/>
      <c r="J23" s="371"/>
      <c r="K23" s="371"/>
      <c r="L23" s="371"/>
      <c r="M23" s="371"/>
      <c r="N23" s="371"/>
      <c r="O23" s="371"/>
      <c r="P23" s="371"/>
      <c r="Q23" s="371"/>
      <c r="R23" s="371"/>
      <c r="S23" s="371"/>
      <c r="T23" s="371"/>
      <c r="U23" s="371"/>
      <c r="V23" s="371"/>
    </row>
    <row r="24" spans="1:22" x14ac:dyDescent="0.25">
      <c r="A24" s="316"/>
      <c r="B24" s="370" t="s">
        <v>221</v>
      </c>
      <c r="C24" s="370"/>
      <c r="D24" s="370"/>
      <c r="E24" s="370"/>
      <c r="F24" s="370"/>
      <c r="G24" s="370"/>
      <c r="H24" s="370"/>
      <c r="I24" s="370"/>
      <c r="J24" s="370"/>
      <c r="K24" s="370"/>
      <c r="L24" s="370"/>
      <c r="M24" s="370"/>
      <c r="N24" s="370"/>
      <c r="O24" s="370"/>
      <c r="P24" s="370"/>
      <c r="Q24" s="370"/>
      <c r="R24" s="370"/>
      <c r="S24" s="370"/>
      <c r="T24" s="370"/>
      <c r="U24" s="370"/>
      <c r="V24" s="370"/>
    </row>
    <row r="25" spans="1:22" ht="15" customHeight="1" x14ac:dyDescent="0.25">
      <c r="A25" s="364" t="s">
        <v>236</v>
      </c>
      <c r="B25" s="364" t="s">
        <v>5</v>
      </c>
      <c r="C25" s="372" t="s">
        <v>231</v>
      </c>
      <c r="D25" s="373" t="s">
        <v>232</v>
      </c>
      <c r="E25" s="373"/>
      <c r="F25" s="364" t="s">
        <v>6</v>
      </c>
      <c r="G25" s="364"/>
      <c r="H25" s="364"/>
      <c r="I25" s="364"/>
      <c r="J25" s="364"/>
      <c r="K25" s="364"/>
      <c r="L25" s="364"/>
      <c r="M25" s="364"/>
      <c r="N25" s="364"/>
      <c r="O25" s="364"/>
      <c r="P25" s="364"/>
      <c r="Q25" s="364"/>
      <c r="R25" s="364"/>
      <c r="S25" s="364"/>
      <c r="T25" s="364"/>
      <c r="U25" s="364"/>
      <c r="V25" s="364"/>
    </row>
    <row r="26" spans="1:22" s="2" customFormat="1" ht="72" customHeight="1" x14ac:dyDescent="0.25">
      <c r="A26" s="364"/>
      <c r="B26" s="364"/>
      <c r="C26" s="372"/>
      <c r="D26" s="373"/>
      <c r="E26" s="373"/>
      <c r="F26" s="95" t="s">
        <v>233</v>
      </c>
      <c r="G26" s="325">
        <v>2023</v>
      </c>
      <c r="H26" s="347"/>
      <c r="I26" s="326"/>
      <c r="J26" s="364">
        <v>2024</v>
      </c>
      <c r="K26" s="364"/>
      <c r="L26" s="325">
        <v>2025</v>
      </c>
      <c r="M26" s="326"/>
      <c r="N26" s="364">
        <v>2026</v>
      </c>
      <c r="O26" s="364"/>
      <c r="P26" s="364" t="s">
        <v>293</v>
      </c>
      <c r="Q26" s="364"/>
      <c r="R26" s="364"/>
      <c r="S26" s="316" t="s">
        <v>234</v>
      </c>
      <c r="T26" s="316"/>
      <c r="U26" s="316" t="s">
        <v>235</v>
      </c>
      <c r="V26" s="316"/>
    </row>
    <row r="27" spans="1:22" s="2" customFormat="1" ht="108" hidden="1" customHeight="1" x14ac:dyDescent="0.25">
      <c r="A27" s="364"/>
      <c r="B27" s="95">
        <v>1</v>
      </c>
      <c r="C27" s="96" t="s">
        <v>137</v>
      </c>
      <c r="D27" s="377" t="s">
        <v>161</v>
      </c>
      <c r="E27" s="377"/>
      <c r="F27" s="94">
        <v>0</v>
      </c>
      <c r="G27" s="339">
        <v>0</v>
      </c>
      <c r="H27" s="339"/>
      <c r="I27" s="94">
        <v>0</v>
      </c>
      <c r="J27" s="339">
        <v>0</v>
      </c>
      <c r="K27" s="339"/>
      <c r="L27" s="94">
        <v>1</v>
      </c>
      <c r="M27" s="94">
        <v>0</v>
      </c>
      <c r="N27" s="339">
        <v>0</v>
      </c>
      <c r="O27" s="339"/>
      <c r="P27" s="339">
        <v>0</v>
      </c>
      <c r="Q27" s="339"/>
      <c r="R27" s="339"/>
      <c r="S27" s="339">
        <v>1</v>
      </c>
      <c r="T27" s="339"/>
      <c r="U27" s="316" t="s">
        <v>138</v>
      </c>
      <c r="V27" s="316"/>
    </row>
    <row r="28" spans="1:22" s="2" customFormat="1" ht="89.25" hidden="1" x14ac:dyDescent="0.25">
      <c r="A28" s="364"/>
      <c r="B28" s="95">
        <v>2</v>
      </c>
      <c r="C28" s="96" t="s">
        <v>141</v>
      </c>
      <c r="D28" s="377" t="s">
        <v>161</v>
      </c>
      <c r="E28" s="377"/>
      <c r="F28" s="94">
        <v>0</v>
      </c>
      <c r="G28" s="339">
        <v>0</v>
      </c>
      <c r="H28" s="339"/>
      <c r="I28" s="94">
        <v>0</v>
      </c>
      <c r="J28" s="339">
        <v>0</v>
      </c>
      <c r="K28" s="339"/>
      <c r="L28" s="94">
        <v>0</v>
      </c>
      <c r="M28" s="94">
        <v>2</v>
      </c>
      <c r="N28" s="339">
        <v>2</v>
      </c>
      <c r="O28" s="339"/>
      <c r="P28" s="339">
        <v>0</v>
      </c>
      <c r="Q28" s="339"/>
      <c r="R28" s="339"/>
      <c r="S28" s="339">
        <v>2</v>
      </c>
      <c r="T28" s="339"/>
      <c r="U28" s="316" t="s">
        <v>139</v>
      </c>
      <c r="V28" s="316"/>
    </row>
    <row r="29" spans="1:22" s="2" customFormat="1" ht="76.5" hidden="1" x14ac:dyDescent="0.25">
      <c r="A29" s="364"/>
      <c r="B29" s="95">
        <v>3</v>
      </c>
      <c r="C29" s="96" t="s">
        <v>136</v>
      </c>
      <c r="D29" s="377" t="s">
        <v>161</v>
      </c>
      <c r="E29" s="377"/>
      <c r="F29" s="94">
        <v>0</v>
      </c>
      <c r="G29" s="339">
        <v>7</v>
      </c>
      <c r="H29" s="339"/>
      <c r="I29" s="94">
        <v>8</v>
      </c>
      <c r="J29" s="339">
        <v>12</v>
      </c>
      <c r="K29" s="339"/>
      <c r="L29" s="94">
        <v>39</v>
      </c>
      <c r="M29" s="94">
        <v>51</v>
      </c>
      <c r="N29" s="339">
        <v>63</v>
      </c>
      <c r="O29" s="339"/>
      <c r="P29" s="339">
        <v>0</v>
      </c>
      <c r="Q29" s="339"/>
      <c r="R29" s="339"/>
      <c r="S29" s="339">
        <v>63</v>
      </c>
      <c r="T29" s="339"/>
      <c r="U29" s="316" t="s">
        <v>140</v>
      </c>
      <c r="V29" s="316"/>
    </row>
    <row r="30" spans="1:22" ht="102" customHeight="1" x14ac:dyDescent="0.25">
      <c r="A30" s="364"/>
      <c r="B30" s="95">
        <v>1</v>
      </c>
      <c r="C30" s="96" t="s">
        <v>7</v>
      </c>
      <c r="D30" s="316" t="s">
        <v>212</v>
      </c>
      <c r="E30" s="316"/>
      <c r="F30" s="123">
        <v>711</v>
      </c>
      <c r="G30" s="325">
        <v>776</v>
      </c>
      <c r="H30" s="347"/>
      <c r="I30" s="326"/>
      <c r="J30" s="325">
        <v>905</v>
      </c>
      <c r="K30" s="326"/>
      <c r="L30" s="325">
        <v>1164</v>
      </c>
      <c r="M30" s="326"/>
      <c r="N30" s="327">
        <v>1292</v>
      </c>
      <c r="O30" s="327"/>
      <c r="P30" s="366">
        <v>1939</v>
      </c>
      <c r="Q30" s="367"/>
      <c r="R30" s="368"/>
      <c r="S30" s="369">
        <v>1939</v>
      </c>
      <c r="T30" s="369"/>
      <c r="U30" s="325" t="s">
        <v>303</v>
      </c>
      <c r="V30" s="326"/>
    </row>
    <row r="31" spans="1:22" ht="97.5" hidden="1" customHeight="1" outlineLevel="1" x14ac:dyDescent="0.25">
      <c r="A31" s="364"/>
      <c r="B31" s="95"/>
      <c r="C31" s="96"/>
      <c r="D31" s="316"/>
      <c r="E31" s="316"/>
      <c r="F31" s="94"/>
      <c r="G31" s="339"/>
      <c r="H31" s="339"/>
      <c r="I31" s="94"/>
      <c r="J31" s="339"/>
      <c r="K31" s="339"/>
      <c r="L31" s="94"/>
      <c r="M31" s="94"/>
      <c r="N31" s="340"/>
      <c r="O31" s="340"/>
      <c r="P31" s="340"/>
      <c r="Q31" s="340"/>
      <c r="R31" s="340"/>
      <c r="S31" s="340"/>
      <c r="T31" s="340"/>
      <c r="U31" s="316"/>
      <c r="V31" s="316"/>
    </row>
    <row r="32" spans="1:22" ht="17.25" customHeight="1" collapsed="1" x14ac:dyDescent="0.25">
      <c r="A32" s="314" t="s">
        <v>237</v>
      </c>
      <c r="B32" s="364" t="s">
        <v>9</v>
      </c>
      <c r="C32" s="364"/>
      <c r="D32" s="360" t="s">
        <v>10</v>
      </c>
      <c r="E32" s="360"/>
      <c r="F32" s="360"/>
      <c r="G32" s="360"/>
      <c r="H32" s="360"/>
      <c r="I32" s="360"/>
      <c r="J32" s="360"/>
      <c r="K32" s="360"/>
      <c r="L32" s="360"/>
      <c r="M32" s="360"/>
      <c r="N32" s="360"/>
      <c r="O32" s="360"/>
      <c r="P32" s="360"/>
      <c r="Q32" s="360"/>
      <c r="R32" s="360"/>
      <c r="S32" s="360"/>
      <c r="T32" s="360"/>
      <c r="U32" s="360"/>
      <c r="V32" s="360"/>
    </row>
    <row r="33" spans="1:22" ht="16.5" customHeight="1" x14ac:dyDescent="0.25">
      <c r="A33" s="315"/>
      <c r="B33" s="364"/>
      <c r="C33" s="364"/>
      <c r="D33" s="345" t="s">
        <v>11</v>
      </c>
      <c r="E33" s="346"/>
      <c r="F33" s="346"/>
      <c r="G33" s="365"/>
      <c r="H33" s="364">
        <v>2023</v>
      </c>
      <c r="I33" s="364"/>
      <c r="J33" s="364"/>
      <c r="K33" s="364">
        <v>2024</v>
      </c>
      <c r="L33" s="364"/>
      <c r="M33" s="364">
        <v>2025</v>
      </c>
      <c r="N33" s="364"/>
      <c r="O33" s="364">
        <v>2026</v>
      </c>
      <c r="P33" s="364"/>
      <c r="Q33" s="364"/>
      <c r="R33" s="325" t="s">
        <v>293</v>
      </c>
      <c r="S33" s="347"/>
      <c r="T33" s="347"/>
      <c r="U33" s="347"/>
      <c r="V33" s="326"/>
    </row>
    <row r="34" spans="1:22" s="2" customFormat="1" ht="17.25" customHeight="1" x14ac:dyDescent="0.25">
      <c r="A34" s="315"/>
      <c r="B34" s="324" t="s">
        <v>12</v>
      </c>
      <c r="C34" s="324"/>
      <c r="D34" s="334" t="e">
        <f>#REF!</f>
        <v>#REF!</v>
      </c>
      <c r="E34" s="335"/>
      <c r="F34" s="335"/>
      <c r="G34" s="336"/>
      <c r="H34" s="320" t="e">
        <f>#REF!</f>
        <v>#REF!</v>
      </c>
      <c r="I34" s="320"/>
      <c r="J34" s="320"/>
      <c r="K34" s="312" t="e">
        <f>#REF!</f>
        <v>#REF!</v>
      </c>
      <c r="L34" s="312"/>
      <c r="M34" s="313" t="e">
        <f>#REF!</f>
        <v>#REF!</v>
      </c>
      <c r="N34" s="313"/>
      <c r="O34" s="313" t="e">
        <f>#REF!</f>
        <v>#REF!</v>
      </c>
      <c r="P34" s="313"/>
      <c r="Q34" s="313"/>
      <c r="R34" s="308" t="e">
        <f>#REF!</f>
        <v>#REF!</v>
      </c>
      <c r="S34" s="309"/>
      <c r="T34" s="309"/>
      <c r="U34" s="309"/>
      <c r="V34" s="310"/>
    </row>
    <row r="35" spans="1:22" x14ac:dyDescent="0.25">
      <c r="A35" s="315"/>
      <c r="B35" s="316" t="s">
        <v>13</v>
      </c>
      <c r="C35" s="316"/>
      <c r="D35" s="334" t="e">
        <f>#REF!</f>
        <v>#REF!</v>
      </c>
      <c r="E35" s="335"/>
      <c r="F35" s="335"/>
      <c r="G35" s="336"/>
      <c r="H35" s="320" t="e">
        <f>#REF!</f>
        <v>#REF!</v>
      </c>
      <c r="I35" s="320"/>
      <c r="J35" s="320"/>
      <c r="K35" s="312" t="e">
        <f>#REF!</f>
        <v>#REF!</v>
      </c>
      <c r="L35" s="312"/>
      <c r="M35" s="313" t="e">
        <f>#REF!</f>
        <v>#REF!</v>
      </c>
      <c r="N35" s="313"/>
      <c r="O35" s="313" t="e">
        <f>#REF!</f>
        <v>#REF!</v>
      </c>
      <c r="P35" s="313"/>
      <c r="Q35" s="313"/>
      <c r="R35" s="308" t="e">
        <f>#REF!</f>
        <v>#REF!</v>
      </c>
      <c r="S35" s="309"/>
      <c r="T35" s="309"/>
      <c r="U35" s="309"/>
      <c r="V35" s="310"/>
    </row>
    <row r="36" spans="1:22" x14ac:dyDescent="0.25">
      <c r="A36" s="315"/>
      <c r="B36" s="316" t="s">
        <v>14</v>
      </c>
      <c r="C36" s="316"/>
      <c r="D36" s="334" t="e">
        <f>#REF!</f>
        <v>#REF!</v>
      </c>
      <c r="E36" s="335"/>
      <c r="F36" s="335"/>
      <c r="G36" s="336"/>
      <c r="H36" s="320" t="e">
        <f>#REF!</f>
        <v>#REF!</v>
      </c>
      <c r="I36" s="320"/>
      <c r="J36" s="320"/>
      <c r="K36" s="312" t="e">
        <f>#REF!</f>
        <v>#REF!</v>
      </c>
      <c r="L36" s="312"/>
      <c r="M36" s="313" t="e">
        <f>#REF!</f>
        <v>#REF!</v>
      </c>
      <c r="N36" s="313"/>
      <c r="O36" s="313" t="e">
        <f>#REF!</f>
        <v>#REF!</v>
      </c>
      <c r="P36" s="313"/>
      <c r="Q36" s="313"/>
      <c r="R36" s="308" t="e">
        <f>#REF!</f>
        <v>#REF!</v>
      </c>
      <c r="S36" s="309"/>
      <c r="T36" s="309"/>
      <c r="U36" s="309"/>
      <c r="V36" s="310"/>
    </row>
    <row r="37" spans="1:22" x14ac:dyDescent="0.25">
      <c r="A37" s="315"/>
      <c r="B37" s="316" t="s">
        <v>15</v>
      </c>
      <c r="C37" s="316"/>
      <c r="D37" s="334" t="e">
        <f>#REF!</f>
        <v>#REF!</v>
      </c>
      <c r="E37" s="335"/>
      <c r="F37" s="335"/>
      <c r="G37" s="336"/>
      <c r="H37" s="320" t="e">
        <f>#REF!</f>
        <v>#REF!</v>
      </c>
      <c r="I37" s="320"/>
      <c r="J37" s="320"/>
      <c r="K37" s="312" t="e">
        <f>#REF!</f>
        <v>#REF!</v>
      </c>
      <c r="L37" s="312"/>
      <c r="M37" s="313" t="e">
        <f>#REF!</f>
        <v>#REF!</v>
      </c>
      <c r="N37" s="313"/>
      <c r="O37" s="313" t="e">
        <f>#REF!</f>
        <v>#REF!</v>
      </c>
      <c r="P37" s="313"/>
      <c r="Q37" s="313"/>
      <c r="R37" s="308" t="e">
        <f>#REF!</f>
        <v>#REF!</v>
      </c>
      <c r="S37" s="309"/>
      <c r="T37" s="309"/>
      <c r="U37" s="309"/>
      <c r="V37" s="310"/>
    </row>
    <row r="38" spans="1:22" x14ac:dyDescent="0.25">
      <c r="A38" s="315"/>
      <c r="B38" s="316" t="s">
        <v>16</v>
      </c>
      <c r="C38" s="316"/>
      <c r="D38" s="334" t="e">
        <f>#REF!</f>
        <v>#REF!</v>
      </c>
      <c r="E38" s="335"/>
      <c r="F38" s="335"/>
      <c r="G38" s="336"/>
      <c r="H38" s="320" t="e">
        <f>#REF!</f>
        <v>#REF!</v>
      </c>
      <c r="I38" s="320"/>
      <c r="J38" s="320"/>
      <c r="K38" s="312" t="e">
        <f>#REF!</f>
        <v>#REF!</v>
      </c>
      <c r="L38" s="312"/>
      <c r="M38" s="313" t="e">
        <f>#REF!</f>
        <v>#REF!</v>
      </c>
      <c r="N38" s="313"/>
      <c r="O38" s="313" t="e">
        <f>#REF!</f>
        <v>#REF!</v>
      </c>
      <c r="P38" s="313"/>
      <c r="Q38" s="313"/>
      <c r="R38" s="308" t="e">
        <f>#REF!</f>
        <v>#REF!</v>
      </c>
      <c r="S38" s="309"/>
      <c r="T38" s="309"/>
      <c r="U38" s="309"/>
      <c r="V38" s="310"/>
    </row>
    <row r="39" spans="1:22" x14ac:dyDescent="0.25">
      <c r="A39" s="315"/>
      <c r="B39" s="316" t="s">
        <v>17</v>
      </c>
      <c r="C39" s="316"/>
      <c r="D39" s="334" t="e">
        <f>#REF!</f>
        <v>#REF!</v>
      </c>
      <c r="E39" s="335"/>
      <c r="F39" s="335"/>
      <c r="G39" s="336"/>
      <c r="H39" s="320" t="e">
        <f>#REF!</f>
        <v>#REF!</v>
      </c>
      <c r="I39" s="320"/>
      <c r="J39" s="320"/>
      <c r="K39" s="312" t="e">
        <f>#REF!</f>
        <v>#REF!</v>
      </c>
      <c r="L39" s="312"/>
      <c r="M39" s="313" t="e">
        <f>#REF!</f>
        <v>#REF!</v>
      </c>
      <c r="N39" s="313"/>
      <c r="O39" s="313" t="e">
        <f>#REF!</f>
        <v>#REF!</v>
      </c>
      <c r="P39" s="313"/>
      <c r="Q39" s="313"/>
      <c r="R39" s="308" t="e">
        <f>#REF!</f>
        <v>#REF!</v>
      </c>
      <c r="S39" s="309"/>
      <c r="T39" s="309"/>
      <c r="U39" s="309"/>
      <c r="V39" s="310"/>
    </row>
    <row r="40" spans="1:22" x14ac:dyDescent="0.25">
      <c r="A40" s="315"/>
      <c r="B40" s="316" t="s">
        <v>18</v>
      </c>
      <c r="C40" s="316"/>
      <c r="D40" s="334" t="e">
        <f>#REF!</f>
        <v>#REF!</v>
      </c>
      <c r="E40" s="335"/>
      <c r="F40" s="335"/>
      <c r="G40" s="336"/>
      <c r="H40" s="320" t="e">
        <f>#REF!</f>
        <v>#REF!</v>
      </c>
      <c r="I40" s="320"/>
      <c r="J40" s="320"/>
      <c r="K40" s="312" t="e">
        <f>#REF!</f>
        <v>#REF!</v>
      </c>
      <c r="L40" s="312"/>
      <c r="M40" s="313" t="e">
        <f>#REF!</f>
        <v>#REF!</v>
      </c>
      <c r="N40" s="313"/>
      <c r="O40" s="313" t="e">
        <f>#REF!</f>
        <v>#REF!</v>
      </c>
      <c r="P40" s="313"/>
      <c r="Q40" s="313"/>
      <c r="R40" s="308" t="e">
        <f>#REF!</f>
        <v>#REF!</v>
      </c>
      <c r="S40" s="309"/>
      <c r="T40" s="309"/>
      <c r="U40" s="309"/>
      <c r="V40" s="310"/>
    </row>
    <row r="41" spans="1:22" ht="15" customHeight="1" x14ac:dyDescent="0.25">
      <c r="A41" s="315"/>
      <c r="B41" s="341" t="s">
        <v>9</v>
      </c>
      <c r="C41" s="342"/>
      <c r="D41" s="360" t="s">
        <v>10</v>
      </c>
      <c r="E41" s="360"/>
      <c r="F41" s="360"/>
      <c r="G41" s="360"/>
      <c r="H41" s="360"/>
      <c r="I41" s="360"/>
      <c r="J41" s="360"/>
      <c r="K41" s="360"/>
      <c r="L41" s="360"/>
      <c r="M41" s="360"/>
      <c r="N41" s="360"/>
      <c r="O41" s="360"/>
      <c r="P41" s="360"/>
      <c r="Q41" s="360"/>
      <c r="R41" s="360"/>
      <c r="S41" s="360"/>
      <c r="T41" s="360"/>
      <c r="U41" s="360"/>
      <c r="V41" s="360"/>
    </row>
    <row r="42" spans="1:22" ht="19.5" customHeight="1" x14ac:dyDescent="0.25">
      <c r="A42" s="315"/>
      <c r="B42" s="343"/>
      <c r="C42" s="344"/>
      <c r="D42" s="345" t="s">
        <v>11</v>
      </c>
      <c r="E42" s="346"/>
      <c r="F42" s="346"/>
      <c r="G42" s="346"/>
      <c r="H42" s="347">
        <v>2023</v>
      </c>
      <c r="I42" s="347"/>
      <c r="J42" s="347"/>
      <c r="K42" s="347">
        <v>2024</v>
      </c>
      <c r="L42" s="326"/>
      <c r="M42" s="325">
        <v>2025</v>
      </c>
      <c r="N42" s="347"/>
      <c r="O42" s="347">
        <v>2026</v>
      </c>
      <c r="P42" s="347"/>
      <c r="Q42" s="347"/>
      <c r="R42" s="347" t="s">
        <v>293</v>
      </c>
      <c r="S42" s="347"/>
      <c r="T42" s="347"/>
      <c r="U42" s="347"/>
      <c r="V42" s="326"/>
    </row>
    <row r="43" spans="1:22" ht="15.75" customHeight="1" x14ac:dyDescent="0.25">
      <c r="A43" s="315"/>
      <c r="B43" s="361" t="s">
        <v>299</v>
      </c>
      <c r="C43" s="362"/>
      <c r="D43" s="362"/>
      <c r="E43" s="362"/>
      <c r="F43" s="362"/>
      <c r="G43" s="362"/>
      <c r="H43" s="362"/>
      <c r="I43" s="362"/>
      <c r="J43" s="362"/>
      <c r="K43" s="362"/>
      <c r="L43" s="362"/>
      <c r="M43" s="362"/>
      <c r="N43" s="362"/>
      <c r="O43" s="362"/>
      <c r="P43" s="362"/>
      <c r="Q43" s="362"/>
      <c r="R43" s="362"/>
      <c r="S43" s="362"/>
      <c r="T43" s="362"/>
      <c r="U43" s="362"/>
      <c r="V43" s="363"/>
    </row>
    <row r="44" spans="1:22" ht="15" customHeight="1" x14ac:dyDescent="0.25">
      <c r="A44" s="315"/>
      <c r="B44" s="328" t="s">
        <v>12</v>
      </c>
      <c r="C44" s="329"/>
      <c r="D44" s="330" t="e">
        <f>SUM(D52+D60)</f>
        <v>#REF!</v>
      </c>
      <c r="E44" s="331"/>
      <c r="F44" s="331"/>
      <c r="G44" s="331"/>
      <c r="H44" s="378" t="e">
        <f>SUM(H52+H60)</f>
        <v>#REF!</v>
      </c>
      <c r="I44" s="379"/>
      <c r="J44" s="379"/>
      <c r="K44" s="382" t="e">
        <f>K52+K60</f>
        <v>#REF!</v>
      </c>
      <c r="L44" s="383"/>
      <c r="M44" s="383"/>
      <c r="N44" s="383"/>
      <c r="O44" s="383"/>
      <c r="P44" s="383"/>
      <c r="Q44" s="383"/>
      <c r="R44" s="383"/>
      <c r="S44" s="383"/>
      <c r="T44" s="383"/>
      <c r="U44" s="383"/>
      <c r="V44" s="383"/>
    </row>
    <row r="45" spans="1:22" ht="15.75" customHeight="1" x14ac:dyDescent="0.25">
      <c r="A45" s="315"/>
      <c r="B45" s="316" t="s">
        <v>13</v>
      </c>
      <c r="C45" s="316"/>
      <c r="D45" s="330" t="e">
        <f t="shared" ref="D45:D50" si="0">SUM(D53+D61)</f>
        <v>#REF!</v>
      </c>
      <c r="E45" s="331"/>
      <c r="F45" s="331"/>
      <c r="G45" s="331"/>
      <c r="H45" s="378" t="e">
        <f t="shared" ref="H45:H50" si="1">SUM(H53+H61)</f>
        <v>#REF!</v>
      </c>
      <c r="I45" s="379"/>
      <c r="J45" s="379"/>
      <c r="K45" s="383"/>
      <c r="L45" s="383"/>
      <c r="M45" s="383"/>
      <c r="N45" s="383"/>
      <c r="O45" s="383"/>
      <c r="P45" s="383"/>
      <c r="Q45" s="383"/>
      <c r="R45" s="383"/>
      <c r="S45" s="383"/>
      <c r="T45" s="383"/>
      <c r="U45" s="383"/>
      <c r="V45" s="383"/>
    </row>
    <row r="46" spans="1:22" ht="13.5" customHeight="1" x14ac:dyDescent="0.25">
      <c r="A46" s="315"/>
      <c r="B46" s="316" t="s">
        <v>14</v>
      </c>
      <c r="C46" s="316"/>
      <c r="D46" s="330" t="e">
        <f t="shared" si="0"/>
        <v>#REF!</v>
      </c>
      <c r="E46" s="331"/>
      <c r="F46" s="331"/>
      <c r="G46" s="331"/>
      <c r="H46" s="378" t="e">
        <f t="shared" si="1"/>
        <v>#REF!</v>
      </c>
      <c r="I46" s="379"/>
      <c r="J46" s="379"/>
      <c r="K46" s="383"/>
      <c r="L46" s="383"/>
      <c r="M46" s="383"/>
      <c r="N46" s="383"/>
      <c r="O46" s="383"/>
      <c r="P46" s="383"/>
      <c r="Q46" s="383"/>
      <c r="R46" s="383"/>
      <c r="S46" s="383"/>
      <c r="T46" s="383"/>
      <c r="U46" s="383"/>
      <c r="V46" s="383"/>
    </row>
    <row r="47" spans="1:22" ht="15.75" customHeight="1" x14ac:dyDescent="0.25">
      <c r="A47" s="315"/>
      <c r="B47" s="316" t="s">
        <v>15</v>
      </c>
      <c r="C47" s="316"/>
      <c r="D47" s="330" t="e">
        <f t="shared" si="0"/>
        <v>#REF!</v>
      </c>
      <c r="E47" s="331"/>
      <c r="F47" s="331"/>
      <c r="G47" s="331"/>
      <c r="H47" s="378" t="e">
        <f t="shared" si="1"/>
        <v>#REF!</v>
      </c>
      <c r="I47" s="379"/>
      <c r="J47" s="379"/>
      <c r="K47" s="383"/>
      <c r="L47" s="383"/>
      <c r="M47" s="383"/>
      <c r="N47" s="383"/>
      <c r="O47" s="383"/>
      <c r="P47" s="383"/>
      <c r="Q47" s="383"/>
      <c r="R47" s="383"/>
      <c r="S47" s="383"/>
      <c r="T47" s="383"/>
      <c r="U47" s="383"/>
      <c r="V47" s="383"/>
    </row>
    <row r="48" spans="1:22" ht="15" customHeight="1" x14ac:dyDescent="0.25">
      <c r="A48" s="315"/>
      <c r="B48" s="316" t="s">
        <v>16</v>
      </c>
      <c r="C48" s="316"/>
      <c r="D48" s="332" t="e">
        <f t="shared" si="0"/>
        <v>#REF!</v>
      </c>
      <c r="E48" s="333"/>
      <c r="F48" s="333"/>
      <c r="G48" s="333"/>
      <c r="H48" s="378" t="e">
        <f t="shared" si="1"/>
        <v>#REF!</v>
      </c>
      <c r="I48" s="379"/>
      <c r="J48" s="379"/>
      <c r="K48" s="383"/>
      <c r="L48" s="383"/>
      <c r="M48" s="383"/>
      <c r="N48" s="383"/>
      <c r="O48" s="383"/>
      <c r="P48" s="383"/>
      <c r="Q48" s="383"/>
      <c r="R48" s="383"/>
      <c r="S48" s="383"/>
      <c r="T48" s="383"/>
      <c r="U48" s="383"/>
      <c r="V48" s="383"/>
    </row>
    <row r="49" spans="1:22" ht="15" customHeight="1" x14ac:dyDescent="0.25">
      <c r="A49" s="315"/>
      <c r="B49" s="316" t="s">
        <v>17</v>
      </c>
      <c r="C49" s="316"/>
      <c r="D49" s="332" t="e">
        <f t="shared" si="0"/>
        <v>#REF!</v>
      </c>
      <c r="E49" s="333"/>
      <c r="F49" s="333"/>
      <c r="G49" s="333"/>
      <c r="H49" s="378" t="e">
        <f t="shared" si="1"/>
        <v>#REF!</v>
      </c>
      <c r="I49" s="379"/>
      <c r="J49" s="379"/>
      <c r="K49" s="383"/>
      <c r="L49" s="383"/>
      <c r="M49" s="383"/>
      <c r="N49" s="383"/>
      <c r="O49" s="383"/>
      <c r="P49" s="383"/>
      <c r="Q49" s="383"/>
      <c r="R49" s="383"/>
      <c r="S49" s="383"/>
      <c r="T49" s="383"/>
      <c r="U49" s="383"/>
      <c r="V49" s="383"/>
    </row>
    <row r="50" spans="1:22" ht="13.5" customHeight="1" x14ac:dyDescent="0.25">
      <c r="A50" s="315"/>
      <c r="B50" s="316" t="s">
        <v>18</v>
      </c>
      <c r="C50" s="316"/>
      <c r="D50" s="332" t="e">
        <f t="shared" si="0"/>
        <v>#REF!</v>
      </c>
      <c r="E50" s="333"/>
      <c r="F50" s="333"/>
      <c r="G50" s="333"/>
      <c r="H50" s="380" t="e">
        <f t="shared" si="1"/>
        <v>#REF!</v>
      </c>
      <c r="I50" s="381"/>
      <c r="J50" s="381"/>
      <c r="K50" s="384"/>
      <c r="L50" s="384"/>
      <c r="M50" s="384"/>
      <c r="N50" s="384"/>
      <c r="O50" s="384"/>
      <c r="P50" s="384"/>
      <c r="Q50" s="384"/>
      <c r="R50" s="384"/>
      <c r="S50" s="384"/>
      <c r="T50" s="384"/>
      <c r="U50" s="384"/>
      <c r="V50" s="384"/>
    </row>
    <row r="51" spans="1:22" ht="12.75" customHeight="1" x14ac:dyDescent="0.25">
      <c r="A51" s="315"/>
      <c r="B51" s="323" t="s">
        <v>298</v>
      </c>
      <c r="C51" s="323"/>
      <c r="D51" s="323"/>
      <c r="E51" s="323"/>
      <c r="F51" s="323"/>
      <c r="G51" s="323"/>
      <c r="H51" s="323"/>
      <c r="I51" s="323"/>
      <c r="J51" s="323"/>
      <c r="K51" s="323"/>
      <c r="L51" s="323"/>
      <c r="M51" s="323"/>
      <c r="N51" s="323"/>
      <c r="O51" s="323"/>
      <c r="P51" s="323"/>
      <c r="Q51" s="323"/>
      <c r="R51" s="323"/>
      <c r="S51" s="323"/>
      <c r="T51" s="323"/>
      <c r="U51" s="323"/>
      <c r="V51" s="323"/>
    </row>
    <row r="52" spans="1:22" ht="15" customHeight="1" x14ac:dyDescent="0.25">
      <c r="A52" s="315"/>
      <c r="B52" s="324" t="s">
        <v>12</v>
      </c>
      <c r="C52" s="324"/>
      <c r="D52" s="321" t="e">
        <f>#REF!</f>
        <v>#REF!</v>
      </c>
      <c r="E52" s="322"/>
      <c r="F52" s="322"/>
      <c r="G52" s="322"/>
      <c r="H52" s="320" t="e">
        <f>#REF!</f>
        <v>#REF!</v>
      </c>
      <c r="I52" s="320"/>
      <c r="J52" s="320"/>
      <c r="K52" s="312" t="e">
        <f>#REF!</f>
        <v>#REF!</v>
      </c>
      <c r="L52" s="312"/>
      <c r="M52" s="312" t="e">
        <f>#REF!</f>
        <v>#REF!</v>
      </c>
      <c r="N52" s="312"/>
      <c r="O52" s="313" t="e">
        <f>#REF!</f>
        <v>#REF!</v>
      </c>
      <c r="P52" s="313"/>
      <c r="Q52" s="313"/>
      <c r="R52" s="308" t="e">
        <f>#REF!</f>
        <v>#REF!</v>
      </c>
      <c r="S52" s="309"/>
      <c r="T52" s="309"/>
      <c r="U52" s="309"/>
      <c r="V52" s="310"/>
    </row>
    <row r="53" spans="1:22" ht="14.25" customHeight="1" x14ac:dyDescent="0.25">
      <c r="A53" s="315"/>
      <c r="B53" s="316" t="s">
        <v>13</v>
      </c>
      <c r="C53" s="316"/>
      <c r="D53" s="297" t="e">
        <f>#REF!</f>
        <v>#REF!</v>
      </c>
      <c r="E53" s="298"/>
      <c r="F53" s="298"/>
      <c r="G53" s="298"/>
      <c r="H53" s="311" t="e">
        <f>#REF!</f>
        <v>#REF!</v>
      </c>
      <c r="I53" s="311"/>
      <c r="J53" s="311"/>
      <c r="K53" s="312" t="e">
        <f>#REF!</f>
        <v>#REF!</v>
      </c>
      <c r="L53" s="312"/>
      <c r="M53" s="312" t="e">
        <f>#REF!</f>
        <v>#REF!</v>
      </c>
      <c r="N53" s="312"/>
      <c r="O53" s="313" t="e">
        <f>#REF!</f>
        <v>#REF!</v>
      </c>
      <c r="P53" s="313"/>
      <c r="Q53" s="313"/>
      <c r="R53" s="308" t="e">
        <f>#REF!</f>
        <v>#REF!</v>
      </c>
      <c r="S53" s="309"/>
      <c r="T53" s="309"/>
      <c r="U53" s="309"/>
      <c r="V53" s="310"/>
    </row>
    <row r="54" spans="1:22" s="2" customFormat="1" ht="12.75" customHeight="1" x14ac:dyDescent="0.25">
      <c r="A54" s="315"/>
      <c r="B54" s="316" t="s">
        <v>14</v>
      </c>
      <c r="C54" s="316"/>
      <c r="D54" s="297" t="e">
        <f>#REF!</f>
        <v>#REF!</v>
      </c>
      <c r="E54" s="298"/>
      <c r="F54" s="298"/>
      <c r="G54" s="298"/>
      <c r="H54" s="311" t="e">
        <f>#REF!</f>
        <v>#REF!</v>
      </c>
      <c r="I54" s="311"/>
      <c r="J54" s="311"/>
      <c r="K54" s="312" t="e">
        <f>#REF!</f>
        <v>#REF!</v>
      </c>
      <c r="L54" s="312"/>
      <c r="M54" s="312" t="e">
        <f>#REF!</f>
        <v>#REF!</v>
      </c>
      <c r="N54" s="312"/>
      <c r="O54" s="313" t="e">
        <f>#REF!</f>
        <v>#REF!</v>
      </c>
      <c r="P54" s="313"/>
      <c r="Q54" s="313"/>
      <c r="R54" s="308" t="e">
        <f>#REF!</f>
        <v>#REF!</v>
      </c>
      <c r="S54" s="309"/>
      <c r="T54" s="309"/>
      <c r="U54" s="309"/>
      <c r="V54" s="310"/>
    </row>
    <row r="55" spans="1:22" ht="15" customHeight="1" x14ac:dyDescent="0.25">
      <c r="A55" s="315"/>
      <c r="B55" s="316" t="s">
        <v>15</v>
      </c>
      <c r="C55" s="316"/>
      <c r="D55" s="297" t="e">
        <f>#REF!</f>
        <v>#REF!</v>
      </c>
      <c r="E55" s="298"/>
      <c r="F55" s="298"/>
      <c r="G55" s="298"/>
      <c r="H55" s="311" t="e">
        <f>#REF!</f>
        <v>#REF!</v>
      </c>
      <c r="I55" s="311"/>
      <c r="J55" s="311"/>
      <c r="K55" s="312" t="e">
        <f>#REF!</f>
        <v>#REF!</v>
      </c>
      <c r="L55" s="312"/>
      <c r="M55" s="312" t="e">
        <f>#REF!</f>
        <v>#REF!</v>
      </c>
      <c r="N55" s="312"/>
      <c r="O55" s="313" t="e">
        <f>#REF!</f>
        <v>#REF!</v>
      </c>
      <c r="P55" s="313"/>
      <c r="Q55" s="313"/>
      <c r="R55" s="308" t="e">
        <f>#REF!</f>
        <v>#REF!</v>
      </c>
      <c r="S55" s="309"/>
      <c r="T55" s="309"/>
      <c r="U55" s="309"/>
      <c r="V55" s="310"/>
    </row>
    <row r="56" spans="1:22" ht="15" customHeight="1" x14ac:dyDescent="0.25">
      <c r="A56" s="315"/>
      <c r="B56" s="316" t="s">
        <v>16</v>
      </c>
      <c r="C56" s="316"/>
      <c r="D56" s="318" t="e">
        <f>#REF!</f>
        <v>#REF!</v>
      </c>
      <c r="E56" s="319"/>
      <c r="F56" s="319"/>
      <c r="G56" s="319"/>
      <c r="H56" s="311" t="e">
        <f>#REF!</f>
        <v>#REF!</v>
      </c>
      <c r="I56" s="311"/>
      <c r="J56" s="311"/>
      <c r="K56" s="312" t="e">
        <f>#REF!</f>
        <v>#REF!</v>
      </c>
      <c r="L56" s="312"/>
      <c r="M56" s="312" t="e">
        <f>#REF!</f>
        <v>#REF!</v>
      </c>
      <c r="N56" s="312"/>
      <c r="O56" s="313" t="e">
        <f>#REF!</f>
        <v>#REF!</v>
      </c>
      <c r="P56" s="313"/>
      <c r="Q56" s="313"/>
      <c r="R56" s="308" t="e">
        <f>#REF!</f>
        <v>#REF!</v>
      </c>
      <c r="S56" s="309"/>
      <c r="T56" s="309"/>
      <c r="U56" s="309"/>
      <c r="V56" s="310"/>
    </row>
    <row r="57" spans="1:22" ht="15" customHeight="1" x14ac:dyDescent="0.25">
      <c r="A57" s="315"/>
      <c r="B57" s="316" t="s">
        <v>17</v>
      </c>
      <c r="C57" s="316"/>
      <c r="D57" s="318" t="e">
        <f>#REF!</f>
        <v>#REF!</v>
      </c>
      <c r="E57" s="319"/>
      <c r="F57" s="319"/>
      <c r="G57" s="319"/>
      <c r="H57" s="311" t="e">
        <f>#REF!</f>
        <v>#REF!</v>
      </c>
      <c r="I57" s="311"/>
      <c r="J57" s="311"/>
      <c r="K57" s="312" t="e">
        <f>#REF!</f>
        <v>#REF!</v>
      </c>
      <c r="L57" s="312"/>
      <c r="M57" s="312" t="e">
        <f>#REF!</f>
        <v>#REF!</v>
      </c>
      <c r="N57" s="312"/>
      <c r="O57" s="313" t="e">
        <f>#REF!</f>
        <v>#REF!</v>
      </c>
      <c r="P57" s="313"/>
      <c r="Q57" s="313"/>
      <c r="R57" s="308" t="e">
        <f>#REF!</f>
        <v>#REF!</v>
      </c>
      <c r="S57" s="309"/>
      <c r="T57" s="309"/>
      <c r="U57" s="309"/>
      <c r="V57" s="310"/>
    </row>
    <row r="58" spans="1:22" ht="15" customHeight="1" x14ac:dyDescent="0.25">
      <c r="A58" s="315"/>
      <c r="B58" s="316" t="s">
        <v>18</v>
      </c>
      <c r="C58" s="316"/>
      <c r="D58" s="318" t="e">
        <f>#REF!</f>
        <v>#REF!</v>
      </c>
      <c r="E58" s="319"/>
      <c r="F58" s="319"/>
      <c r="G58" s="319"/>
      <c r="H58" s="311" t="e">
        <f>#REF!</f>
        <v>#REF!</v>
      </c>
      <c r="I58" s="311"/>
      <c r="J58" s="311"/>
      <c r="K58" s="312" t="e">
        <f>#REF!</f>
        <v>#REF!</v>
      </c>
      <c r="L58" s="312"/>
      <c r="M58" s="312" t="e">
        <f>#REF!</f>
        <v>#REF!</v>
      </c>
      <c r="N58" s="312"/>
      <c r="O58" s="313" t="e">
        <f>#REF!</f>
        <v>#REF!</v>
      </c>
      <c r="P58" s="313"/>
      <c r="Q58" s="313"/>
      <c r="R58" s="308" t="e">
        <f>#REF!</f>
        <v>#REF!</v>
      </c>
      <c r="S58" s="309"/>
      <c r="T58" s="309"/>
      <c r="U58" s="309"/>
      <c r="V58" s="310"/>
    </row>
    <row r="59" spans="1:22" ht="15" customHeight="1" x14ac:dyDescent="0.25">
      <c r="A59" s="315"/>
      <c r="B59" s="323" t="s">
        <v>297</v>
      </c>
      <c r="C59" s="323"/>
      <c r="D59" s="323"/>
      <c r="E59" s="323"/>
      <c r="F59" s="323"/>
      <c r="G59" s="323"/>
      <c r="H59" s="323"/>
      <c r="I59" s="323"/>
      <c r="J59" s="323"/>
      <c r="K59" s="323"/>
      <c r="L59" s="323"/>
      <c r="M59" s="323"/>
      <c r="N59" s="323"/>
      <c r="O59" s="323"/>
      <c r="P59" s="323"/>
      <c r="Q59" s="323"/>
      <c r="R59" s="323"/>
      <c r="S59" s="323"/>
      <c r="T59" s="323"/>
      <c r="U59" s="323"/>
      <c r="V59" s="323"/>
    </row>
    <row r="60" spans="1:22" ht="15" customHeight="1" x14ac:dyDescent="0.25">
      <c r="A60" s="315"/>
      <c r="B60" s="324" t="s">
        <v>12</v>
      </c>
      <c r="C60" s="324"/>
      <c r="D60" s="304"/>
      <c r="E60" s="305"/>
      <c r="F60" s="305"/>
      <c r="G60" s="305"/>
      <c r="H60" s="306" t="e">
        <f>#REF!</f>
        <v>#REF!</v>
      </c>
      <c r="I60" s="306"/>
      <c r="J60" s="306"/>
      <c r="K60" s="307" t="s">
        <v>213</v>
      </c>
      <c r="L60" s="307"/>
      <c r="M60" s="300" t="s">
        <v>213</v>
      </c>
      <c r="N60" s="300"/>
      <c r="O60" s="300" t="s">
        <v>213</v>
      </c>
      <c r="P60" s="300"/>
      <c r="Q60" s="300"/>
      <c r="R60" s="301" t="s">
        <v>213</v>
      </c>
      <c r="S60" s="302"/>
      <c r="T60" s="302"/>
      <c r="U60" s="302"/>
      <c r="V60" s="303"/>
    </row>
    <row r="61" spans="1:22" ht="15" customHeight="1" x14ac:dyDescent="0.25">
      <c r="A61" s="315"/>
      <c r="B61" s="316" t="s">
        <v>13</v>
      </c>
      <c r="C61" s="316"/>
      <c r="D61" s="304"/>
      <c r="E61" s="305"/>
      <c r="F61" s="305"/>
      <c r="G61" s="317"/>
      <c r="H61" s="306" t="e">
        <f>#REF!</f>
        <v>#REF!</v>
      </c>
      <c r="I61" s="306"/>
      <c r="J61" s="306"/>
      <c r="K61" s="307" t="s">
        <v>213</v>
      </c>
      <c r="L61" s="307"/>
      <c r="M61" s="300" t="s">
        <v>213</v>
      </c>
      <c r="N61" s="300"/>
      <c r="O61" s="300" t="s">
        <v>213</v>
      </c>
      <c r="P61" s="300"/>
      <c r="Q61" s="300"/>
      <c r="R61" s="301" t="s">
        <v>213</v>
      </c>
      <c r="S61" s="302"/>
      <c r="T61" s="302"/>
      <c r="U61" s="302"/>
      <c r="V61" s="303"/>
    </row>
    <row r="62" spans="1:22" ht="15" customHeight="1" x14ac:dyDescent="0.25">
      <c r="A62" s="315"/>
      <c r="B62" s="316" t="s">
        <v>14</v>
      </c>
      <c r="C62" s="316"/>
      <c r="D62" s="304"/>
      <c r="E62" s="305"/>
      <c r="F62" s="305"/>
      <c r="G62" s="305"/>
      <c r="H62" s="306" t="e">
        <f>#REF!</f>
        <v>#REF!</v>
      </c>
      <c r="I62" s="306"/>
      <c r="J62" s="306"/>
      <c r="K62" s="307" t="s">
        <v>213</v>
      </c>
      <c r="L62" s="307"/>
      <c r="M62" s="300" t="s">
        <v>213</v>
      </c>
      <c r="N62" s="300"/>
      <c r="O62" s="300" t="s">
        <v>213</v>
      </c>
      <c r="P62" s="300"/>
      <c r="Q62" s="300"/>
      <c r="R62" s="301" t="s">
        <v>213</v>
      </c>
      <c r="S62" s="302"/>
      <c r="T62" s="302"/>
      <c r="U62" s="302"/>
      <c r="V62" s="303"/>
    </row>
    <row r="63" spans="1:22" ht="15" customHeight="1" x14ac:dyDescent="0.25">
      <c r="A63" s="315"/>
      <c r="B63" s="316" t="s">
        <v>15</v>
      </c>
      <c r="C63" s="316"/>
      <c r="D63" s="304"/>
      <c r="E63" s="305"/>
      <c r="F63" s="305"/>
      <c r="G63" s="317"/>
      <c r="H63" s="306" t="e">
        <f>#REF!</f>
        <v>#REF!</v>
      </c>
      <c r="I63" s="306"/>
      <c r="J63" s="306"/>
      <c r="K63" s="307" t="s">
        <v>213</v>
      </c>
      <c r="L63" s="307"/>
      <c r="M63" s="300" t="s">
        <v>213</v>
      </c>
      <c r="N63" s="300"/>
      <c r="O63" s="300" t="s">
        <v>213</v>
      </c>
      <c r="P63" s="300"/>
      <c r="Q63" s="300"/>
      <c r="R63" s="301" t="s">
        <v>213</v>
      </c>
      <c r="S63" s="302"/>
      <c r="T63" s="302"/>
      <c r="U63" s="302"/>
      <c r="V63" s="303"/>
    </row>
    <row r="64" spans="1:22" ht="15" customHeight="1" x14ac:dyDescent="0.25">
      <c r="A64" s="315"/>
      <c r="B64" s="316" t="s">
        <v>16</v>
      </c>
      <c r="C64" s="316"/>
      <c r="D64" s="304"/>
      <c r="E64" s="305"/>
      <c r="F64" s="305"/>
      <c r="G64" s="305"/>
      <c r="H64" s="306" t="e">
        <f>#REF!</f>
        <v>#REF!</v>
      </c>
      <c r="I64" s="306"/>
      <c r="J64" s="306"/>
      <c r="K64" s="307" t="s">
        <v>213</v>
      </c>
      <c r="L64" s="307"/>
      <c r="M64" s="300" t="s">
        <v>213</v>
      </c>
      <c r="N64" s="300"/>
      <c r="O64" s="300" t="s">
        <v>213</v>
      </c>
      <c r="P64" s="300"/>
      <c r="Q64" s="300"/>
      <c r="R64" s="301" t="s">
        <v>213</v>
      </c>
      <c r="S64" s="302"/>
      <c r="T64" s="302"/>
      <c r="U64" s="302"/>
      <c r="V64" s="303"/>
    </row>
    <row r="65" spans="1:22" ht="15" customHeight="1" x14ac:dyDescent="0.25">
      <c r="A65" s="315"/>
      <c r="B65" s="316" t="s">
        <v>17</v>
      </c>
      <c r="C65" s="316"/>
      <c r="D65" s="304"/>
      <c r="E65" s="305"/>
      <c r="F65" s="305"/>
      <c r="G65" s="317"/>
      <c r="H65" s="306" t="e">
        <f>#REF!</f>
        <v>#REF!</v>
      </c>
      <c r="I65" s="306"/>
      <c r="J65" s="306"/>
      <c r="K65" s="307" t="s">
        <v>213</v>
      </c>
      <c r="L65" s="307"/>
      <c r="M65" s="300" t="s">
        <v>213</v>
      </c>
      <c r="N65" s="300"/>
      <c r="O65" s="300" t="s">
        <v>213</v>
      </c>
      <c r="P65" s="300"/>
      <c r="Q65" s="300"/>
      <c r="R65" s="301" t="s">
        <v>213</v>
      </c>
      <c r="S65" s="302"/>
      <c r="T65" s="302"/>
      <c r="U65" s="302"/>
      <c r="V65" s="303"/>
    </row>
    <row r="66" spans="1:22" ht="15" customHeight="1" x14ac:dyDescent="0.25">
      <c r="A66" s="315"/>
      <c r="B66" s="316" t="s">
        <v>18</v>
      </c>
      <c r="C66" s="316"/>
      <c r="D66" s="304"/>
      <c r="E66" s="305"/>
      <c r="F66" s="305"/>
      <c r="G66" s="305"/>
      <c r="H66" s="306" t="e">
        <f>#REF!</f>
        <v>#REF!</v>
      </c>
      <c r="I66" s="306"/>
      <c r="J66" s="306"/>
      <c r="K66" s="307" t="s">
        <v>213</v>
      </c>
      <c r="L66" s="307"/>
      <c r="M66" s="300" t="s">
        <v>213</v>
      </c>
      <c r="N66" s="300"/>
      <c r="O66" s="300" t="s">
        <v>213</v>
      </c>
      <c r="P66" s="300"/>
      <c r="Q66" s="300"/>
      <c r="R66" s="301" t="s">
        <v>213</v>
      </c>
      <c r="S66" s="302"/>
      <c r="T66" s="302"/>
      <c r="U66" s="302"/>
      <c r="V66" s="303"/>
    </row>
    <row r="67" spans="1:22" ht="24" customHeight="1" x14ac:dyDescent="0.25">
      <c r="A67" s="315"/>
      <c r="B67" s="323" t="s">
        <v>300</v>
      </c>
      <c r="C67" s="323"/>
      <c r="D67" s="323"/>
      <c r="E67" s="323"/>
      <c r="F67" s="323"/>
      <c r="G67" s="323"/>
      <c r="H67" s="323"/>
      <c r="I67" s="323"/>
      <c r="J67" s="323"/>
      <c r="K67" s="323"/>
      <c r="L67" s="323"/>
      <c r="M67" s="323"/>
      <c r="N67" s="323"/>
      <c r="O67" s="323"/>
      <c r="P67" s="323"/>
      <c r="Q67" s="323"/>
      <c r="R67" s="323"/>
      <c r="S67" s="323"/>
      <c r="T67" s="323"/>
      <c r="U67" s="323"/>
      <c r="V67" s="323"/>
    </row>
    <row r="68" spans="1:22" s="2" customFormat="1" x14ac:dyDescent="0.25">
      <c r="A68" s="315"/>
      <c r="B68" s="324" t="s">
        <v>12</v>
      </c>
      <c r="C68" s="324"/>
      <c r="D68" s="297" t="s">
        <v>213</v>
      </c>
      <c r="E68" s="298"/>
      <c r="F68" s="298"/>
      <c r="G68" s="298"/>
      <c r="H68" s="292" t="s">
        <v>213</v>
      </c>
      <c r="I68" s="292"/>
      <c r="J68" s="292"/>
      <c r="K68" s="292" t="s">
        <v>213</v>
      </c>
      <c r="L68" s="292"/>
      <c r="M68" s="293" t="s">
        <v>213</v>
      </c>
      <c r="N68" s="293"/>
      <c r="O68" s="293" t="s">
        <v>213</v>
      </c>
      <c r="P68" s="293"/>
      <c r="Q68" s="293"/>
      <c r="R68" s="294" t="s">
        <v>213</v>
      </c>
      <c r="S68" s="295"/>
      <c r="T68" s="295"/>
      <c r="U68" s="295"/>
      <c r="V68" s="296"/>
    </row>
    <row r="69" spans="1:22" ht="15" customHeight="1" x14ac:dyDescent="0.25">
      <c r="A69" s="315"/>
      <c r="B69" s="316" t="s">
        <v>13</v>
      </c>
      <c r="C69" s="316"/>
      <c r="D69" s="297" t="s">
        <v>213</v>
      </c>
      <c r="E69" s="298"/>
      <c r="F69" s="298"/>
      <c r="G69" s="298"/>
      <c r="H69" s="292" t="s">
        <v>213</v>
      </c>
      <c r="I69" s="292"/>
      <c r="J69" s="292"/>
      <c r="K69" s="292" t="s">
        <v>213</v>
      </c>
      <c r="L69" s="292"/>
      <c r="M69" s="293" t="s">
        <v>213</v>
      </c>
      <c r="N69" s="293"/>
      <c r="O69" s="293" t="s">
        <v>213</v>
      </c>
      <c r="P69" s="293"/>
      <c r="Q69" s="293"/>
      <c r="R69" s="294" t="s">
        <v>213</v>
      </c>
      <c r="S69" s="295"/>
      <c r="T69" s="295"/>
      <c r="U69" s="295"/>
      <c r="V69" s="296"/>
    </row>
    <row r="70" spans="1:22" ht="15" customHeight="1" x14ac:dyDescent="0.25">
      <c r="A70" s="315"/>
      <c r="B70" s="316" t="s">
        <v>14</v>
      </c>
      <c r="C70" s="316"/>
      <c r="D70" s="297" t="s">
        <v>213</v>
      </c>
      <c r="E70" s="298"/>
      <c r="F70" s="298"/>
      <c r="G70" s="298"/>
      <c r="H70" s="292" t="s">
        <v>213</v>
      </c>
      <c r="I70" s="292"/>
      <c r="J70" s="292"/>
      <c r="K70" s="292" t="s">
        <v>213</v>
      </c>
      <c r="L70" s="292"/>
      <c r="M70" s="293" t="s">
        <v>213</v>
      </c>
      <c r="N70" s="293"/>
      <c r="O70" s="293" t="s">
        <v>213</v>
      </c>
      <c r="P70" s="293"/>
      <c r="Q70" s="293"/>
      <c r="R70" s="294" t="s">
        <v>213</v>
      </c>
      <c r="S70" s="295"/>
      <c r="T70" s="295"/>
      <c r="U70" s="295"/>
      <c r="V70" s="296"/>
    </row>
    <row r="71" spans="1:22" ht="15" customHeight="1" x14ac:dyDescent="0.25">
      <c r="A71" s="315"/>
      <c r="B71" s="316" t="s">
        <v>15</v>
      </c>
      <c r="C71" s="316"/>
      <c r="D71" s="297" t="s">
        <v>213</v>
      </c>
      <c r="E71" s="298"/>
      <c r="F71" s="298"/>
      <c r="G71" s="298"/>
      <c r="H71" s="292" t="s">
        <v>213</v>
      </c>
      <c r="I71" s="292"/>
      <c r="J71" s="292"/>
      <c r="K71" s="292" t="s">
        <v>213</v>
      </c>
      <c r="L71" s="292"/>
      <c r="M71" s="293" t="s">
        <v>213</v>
      </c>
      <c r="N71" s="293"/>
      <c r="O71" s="293" t="s">
        <v>213</v>
      </c>
      <c r="P71" s="293"/>
      <c r="Q71" s="293"/>
      <c r="R71" s="294" t="s">
        <v>213</v>
      </c>
      <c r="S71" s="295"/>
      <c r="T71" s="295"/>
      <c r="U71" s="295"/>
      <c r="V71" s="296"/>
    </row>
    <row r="72" spans="1:22" x14ac:dyDescent="0.25">
      <c r="A72" s="315"/>
      <c r="B72" s="316" t="s">
        <v>16</v>
      </c>
      <c r="C72" s="316"/>
      <c r="D72" s="297" t="s">
        <v>213</v>
      </c>
      <c r="E72" s="298"/>
      <c r="F72" s="298"/>
      <c r="G72" s="298"/>
      <c r="H72" s="292" t="s">
        <v>213</v>
      </c>
      <c r="I72" s="292"/>
      <c r="J72" s="292"/>
      <c r="K72" s="292" t="s">
        <v>213</v>
      </c>
      <c r="L72" s="292"/>
      <c r="M72" s="293" t="s">
        <v>213</v>
      </c>
      <c r="N72" s="293"/>
      <c r="O72" s="293" t="s">
        <v>213</v>
      </c>
      <c r="P72" s="293"/>
      <c r="Q72" s="293"/>
      <c r="R72" s="294" t="s">
        <v>213</v>
      </c>
      <c r="S72" s="295"/>
      <c r="T72" s="295"/>
      <c r="U72" s="295"/>
      <c r="V72" s="296"/>
    </row>
    <row r="73" spans="1:22" x14ac:dyDescent="0.25">
      <c r="A73" s="315"/>
      <c r="B73" s="316" t="s">
        <v>17</v>
      </c>
      <c r="C73" s="316"/>
      <c r="D73" s="297" t="s">
        <v>213</v>
      </c>
      <c r="E73" s="298"/>
      <c r="F73" s="298"/>
      <c r="G73" s="298"/>
      <c r="H73" s="292" t="s">
        <v>213</v>
      </c>
      <c r="I73" s="292"/>
      <c r="J73" s="292"/>
      <c r="K73" s="292" t="s">
        <v>213</v>
      </c>
      <c r="L73" s="292"/>
      <c r="M73" s="293" t="s">
        <v>213</v>
      </c>
      <c r="N73" s="293"/>
      <c r="O73" s="293" t="s">
        <v>213</v>
      </c>
      <c r="P73" s="293"/>
      <c r="Q73" s="293"/>
      <c r="R73" s="294" t="s">
        <v>213</v>
      </c>
      <c r="S73" s="295"/>
      <c r="T73" s="295"/>
      <c r="U73" s="295"/>
      <c r="V73" s="296"/>
    </row>
    <row r="74" spans="1:22" ht="15" customHeight="1" x14ac:dyDescent="0.25">
      <c r="A74" s="315"/>
      <c r="B74" s="353" t="s">
        <v>18</v>
      </c>
      <c r="C74" s="353"/>
      <c r="D74" s="297" t="s">
        <v>213</v>
      </c>
      <c r="E74" s="298"/>
      <c r="F74" s="298"/>
      <c r="G74" s="298"/>
      <c r="H74" s="292" t="s">
        <v>213</v>
      </c>
      <c r="I74" s="292"/>
      <c r="J74" s="292"/>
      <c r="K74" s="292" t="s">
        <v>213</v>
      </c>
      <c r="L74" s="292"/>
      <c r="M74" s="293" t="s">
        <v>213</v>
      </c>
      <c r="N74" s="293"/>
      <c r="O74" s="293" t="s">
        <v>213</v>
      </c>
      <c r="P74" s="293"/>
      <c r="Q74" s="293"/>
      <c r="R74" s="294" t="s">
        <v>213</v>
      </c>
      <c r="S74" s="295"/>
      <c r="T74" s="295"/>
      <c r="U74" s="295"/>
      <c r="V74" s="296"/>
    </row>
    <row r="75" spans="1:22" ht="33.75" customHeight="1" x14ac:dyDescent="0.25">
      <c r="A75" s="348" t="s">
        <v>238</v>
      </c>
      <c r="B75" s="349"/>
      <c r="C75" s="349" t="s">
        <v>12</v>
      </c>
      <c r="D75" s="354" t="s">
        <v>10</v>
      </c>
      <c r="E75" s="354"/>
      <c r="F75" s="354"/>
      <c r="G75" s="354"/>
      <c r="H75" s="354"/>
      <c r="I75" s="354"/>
      <c r="J75" s="354"/>
      <c r="K75" s="354"/>
      <c r="L75" s="354"/>
      <c r="M75" s="354"/>
      <c r="N75" s="354"/>
      <c r="O75" s="354"/>
      <c r="P75" s="354"/>
      <c r="Q75" s="354"/>
      <c r="R75" s="354"/>
      <c r="S75" s="354"/>
      <c r="T75" s="354"/>
      <c r="U75" s="354"/>
      <c r="V75" s="355"/>
    </row>
    <row r="76" spans="1:22" x14ac:dyDescent="0.25">
      <c r="A76" s="350"/>
      <c r="B76" s="351"/>
      <c r="C76" s="352"/>
      <c r="D76" s="356"/>
      <c r="E76" s="356"/>
      <c r="F76" s="356"/>
      <c r="G76" s="356"/>
      <c r="H76" s="357"/>
      <c r="I76" s="357"/>
      <c r="J76" s="357"/>
      <c r="K76" s="358"/>
      <c r="L76" s="358"/>
      <c r="M76" s="359"/>
      <c r="N76" s="359"/>
      <c r="O76" s="359"/>
      <c r="P76" s="359"/>
      <c r="Q76" s="359"/>
      <c r="R76" s="299"/>
      <c r="S76" s="299"/>
      <c r="T76" s="299"/>
      <c r="U76" s="299"/>
      <c r="V76" s="299"/>
    </row>
    <row r="78" spans="1:22" x14ac:dyDescent="0.25">
      <c r="A78" t="s">
        <v>19</v>
      </c>
    </row>
    <row r="80" spans="1:22" x14ac:dyDescent="0.25">
      <c r="A80" t="s">
        <v>20</v>
      </c>
    </row>
    <row r="81" spans="1:13" x14ac:dyDescent="0.25">
      <c r="A81" t="s">
        <v>21</v>
      </c>
    </row>
    <row r="82" spans="1:13" x14ac:dyDescent="0.25">
      <c r="A82" t="s">
        <v>22</v>
      </c>
    </row>
    <row r="83" spans="1:13" x14ac:dyDescent="0.25">
      <c r="A83" t="s">
        <v>23</v>
      </c>
    </row>
    <row r="84" spans="1:13" x14ac:dyDescent="0.25">
      <c r="A84" t="s">
        <v>24</v>
      </c>
    </row>
    <row r="85" spans="1:13" x14ac:dyDescent="0.25">
      <c r="A85" t="s">
        <v>25</v>
      </c>
    </row>
    <row r="86" spans="1:13" x14ac:dyDescent="0.25">
      <c r="A86" t="s">
        <v>26</v>
      </c>
    </row>
    <row r="87" spans="1:13" x14ac:dyDescent="0.25">
      <c r="A87" t="s">
        <v>27</v>
      </c>
    </row>
    <row r="88" spans="1:13" x14ac:dyDescent="0.25">
      <c r="A88" t="s">
        <v>28</v>
      </c>
    </row>
    <row r="89" spans="1:13" x14ac:dyDescent="0.25">
      <c r="A89" t="s">
        <v>29</v>
      </c>
    </row>
    <row r="90" spans="1:13" x14ac:dyDescent="0.25">
      <c r="A90" t="s">
        <v>30</v>
      </c>
    </row>
    <row r="91" spans="1:13" x14ac:dyDescent="0.25">
      <c r="A91" s="69" t="s">
        <v>31</v>
      </c>
      <c r="B91" s="69"/>
      <c r="C91" s="69"/>
      <c r="D91" s="69"/>
      <c r="E91" s="69"/>
      <c r="F91" s="69"/>
      <c r="G91" s="69"/>
      <c r="H91" s="69"/>
      <c r="I91" s="69"/>
      <c r="J91" s="69"/>
      <c r="K91" s="69"/>
      <c r="L91" s="69"/>
      <c r="M91" s="69"/>
    </row>
    <row r="92" spans="1:13" x14ac:dyDescent="0.25">
      <c r="A92" s="69"/>
      <c r="B92" s="69"/>
      <c r="C92" s="69"/>
      <c r="D92" s="69"/>
      <c r="E92" s="69"/>
      <c r="F92" s="69"/>
      <c r="G92" s="69"/>
      <c r="H92" s="69"/>
      <c r="I92" s="69"/>
      <c r="J92" s="69"/>
      <c r="K92" s="69"/>
      <c r="L92" s="69"/>
      <c r="M92" s="69"/>
    </row>
    <row r="93" spans="1:13" x14ac:dyDescent="0.25">
      <c r="A93" s="69" t="s">
        <v>32</v>
      </c>
      <c r="C93" s="69"/>
      <c r="D93" s="69"/>
      <c r="E93" s="69"/>
      <c r="F93" s="69"/>
      <c r="G93" s="69"/>
      <c r="H93" s="69"/>
      <c r="I93" s="69"/>
      <c r="J93" s="69"/>
      <c r="K93" s="69"/>
      <c r="L93" s="69"/>
      <c r="M93" s="69"/>
    </row>
    <row r="94" spans="1:13" x14ac:dyDescent="0.25">
      <c r="A94" t="s">
        <v>33</v>
      </c>
    </row>
    <row r="95" spans="1:13" x14ac:dyDescent="0.25">
      <c r="A95" t="s">
        <v>34</v>
      </c>
    </row>
    <row r="96" spans="1:13" x14ac:dyDescent="0.25">
      <c r="A96" t="s">
        <v>35</v>
      </c>
    </row>
    <row r="97" spans="1:1" x14ac:dyDescent="0.25">
      <c r="A97" t="s">
        <v>36</v>
      </c>
    </row>
    <row r="98" spans="1:1" x14ac:dyDescent="0.25">
      <c r="A98" t="s">
        <v>37</v>
      </c>
    </row>
    <row r="99" spans="1:1" x14ac:dyDescent="0.25">
      <c r="A99" t="s">
        <v>38</v>
      </c>
    </row>
    <row r="100" spans="1:1" x14ac:dyDescent="0.25">
      <c r="A100" t="s">
        <v>39</v>
      </c>
    </row>
    <row r="101" spans="1:1" x14ac:dyDescent="0.25">
      <c r="A101" t="s">
        <v>40</v>
      </c>
    </row>
    <row r="102" spans="1:1" x14ac:dyDescent="0.25">
      <c r="A102" t="s">
        <v>41</v>
      </c>
    </row>
    <row r="103" spans="1:1" x14ac:dyDescent="0.25">
      <c r="A103" t="s">
        <v>42</v>
      </c>
    </row>
    <row r="104" spans="1:1" x14ac:dyDescent="0.25">
      <c r="A104" t="s">
        <v>43</v>
      </c>
    </row>
    <row r="105" spans="1:1" x14ac:dyDescent="0.25">
      <c r="A105" t="s">
        <v>44</v>
      </c>
    </row>
    <row r="106" spans="1:1" x14ac:dyDescent="0.25">
      <c r="A106" t="s">
        <v>45</v>
      </c>
    </row>
    <row r="107" spans="1:1" x14ac:dyDescent="0.25">
      <c r="A107" t="s">
        <v>46</v>
      </c>
    </row>
    <row r="108" spans="1:1" x14ac:dyDescent="0.25">
      <c r="A108" t="s">
        <v>47</v>
      </c>
    </row>
    <row r="109" spans="1:1" x14ac:dyDescent="0.25">
      <c r="A109" t="s">
        <v>48</v>
      </c>
    </row>
  </sheetData>
  <mergeCells count="345">
    <mergeCell ref="O44:Q44"/>
    <mergeCell ref="O45:Q45"/>
    <mergeCell ref="O46:Q46"/>
    <mergeCell ref="O47:Q47"/>
    <mergeCell ref="O48:Q48"/>
    <mergeCell ref="O49:Q49"/>
    <mergeCell ref="O50:Q50"/>
    <mergeCell ref="R44:V44"/>
    <mergeCell ref="R45:V45"/>
    <mergeCell ref="R46:V46"/>
    <mergeCell ref="R47:V47"/>
    <mergeCell ref="R48:V48"/>
    <mergeCell ref="R49:V49"/>
    <mergeCell ref="R50:V50"/>
    <mergeCell ref="K44:L44"/>
    <mergeCell ref="K45:L45"/>
    <mergeCell ref="K46:L46"/>
    <mergeCell ref="K47:L47"/>
    <mergeCell ref="K48:L48"/>
    <mergeCell ref="K49:L49"/>
    <mergeCell ref="K50:L50"/>
    <mergeCell ref="M44:N44"/>
    <mergeCell ref="M45:N45"/>
    <mergeCell ref="M46:N46"/>
    <mergeCell ref="M47:N47"/>
    <mergeCell ref="M48:N48"/>
    <mergeCell ref="M49:N49"/>
    <mergeCell ref="M50:N50"/>
    <mergeCell ref="D49:G49"/>
    <mergeCell ref="D50:G50"/>
    <mergeCell ref="H44:J44"/>
    <mergeCell ref="H45:J45"/>
    <mergeCell ref="H46:J46"/>
    <mergeCell ref="H47:J47"/>
    <mergeCell ref="H48:J48"/>
    <mergeCell ref="H49:J49"/>
    <mergeCell ref="H50:J50"/>
    <mergeCell ref="B9:L9"/>
    <mergeCell ref="M9:P9"/>
    <mergeCell ref="Q9:V9"/>
    <mergeCell ref="B10:V10"/>
    <mergeCell ref="B11:V11"/>
    <mergeCell ref="B12:V12"/>
    <mergeCell ref="D29:E29"/>
    <mergeCell ref="D27:E27"/>
    <mergeCell ref="D28:E28"/>
    <mergeCell ref="G27:H27"/>
    <mergeCell ref="G29:H29"/>
    <mergeCell ref="G28:H28"/>
    <mergeCell ref="J27:K27"/>
    <mergeCell ref="J28:K28"/>
    <mergeCell ref="J29:K29"/>
    <mergeCell ref="N27:O27"/>
    <mergeCell ref="N28:O28"/>
    <mergeCell ref="N29:O29"/>
    <mergeCell ref="P27:R27"/>
    <mergeCell ref="P28:R28"/>
    <mergeCell ref="P29:R29"/>
    <mergeCell ref="S27:T27"/>
    <mergeCell ref="S29:T29"/>
    <mergeCell ref="U27:V27"/>
    <mergeCell ref="B17:V17"/>
    <mergeCell ref="B18:V18"/>
    <mergeCell ref="A19:A21"/>
    <mergeCell ref="B19:V19"/>
    <mergeCell ref="B20:V20"/>
    <mergeCell ref="B21:V21"/>
    <mergeCell ref="A13:A16"/>
    <mergeCell ref="B13:V13"/>
    <mergeCell ref="B14:V14"/>
    <mergeCell ref="B15:V15"/>
    <mergeCell ref="B16:V16"/>
    <mergeCell ref="P30:R30"/>
    <mergeCell ref="S30:T30"/>
    <mergeCell ref="U30:V30"/>
    <mergeCell ref="A22:A24"/>
    <mergeCell ref="B22:V22"/>
    <mergeCell ref="B23:V23"/>
    <mergeCell ref="B24:V24"/>
    <mergeCell ref="A25:A31"/>
    <mergeCell ref="B25:B26"/>
    <mergeCell ref="C25:C26"/>
    <mergeCell ref="D25:E26"/>
    <mergeCell ref="F25:V25"/>
    <mergeCell ref="U28:V28"/>
    <mergeCell ref="U29:V29"/>
    <mergeCell ref="S28:T28"/>
    <mergeCell ref="J26:K26"/>
    <mergeCell ref="N26:O26"/>
    <mergeCell ref="P26:R26"/>
    <mergeCell ref="S26:T26"/>
    <mergeCell ref="U26:V26"/>
    <mergeCell ref="G26:I26"/>
    <mergeCell ref="L26:M26"/>
    <mergeCell ref="G30:I30"/>
    <mergeCell ref="L30:M30"/>
    <mergeCell ref="B32:C33"/>
    <mergeCell ref="H34:J34"/>
    <mergeCell ref="M34:N34"/>
    <mergeCell ref="O34:Q34"/>
    <mergeCell ref="D32:V32"/>
    <mergeCell ref="K33:L33"/>
    <mergeCell ref="K34:L34"/>
    <mergeCell ref="H33:J33"/>
    <mergeCell ref="R33:V33"/>
    <mergeCell ref="R34:V34"/>
    <mergeCell ref="M33:N33"/>
    <mergeCell ref="O33:Q33"/>
    <mergeCell ref="D33:G33"/>
    <mergeCell ref="D34:G34"/>
    <mergeCell ref="R37:V37"/>
    <mergeCell ref="R38:V38"/>
    <mergeCell ref="O35:Q35"/>
    <mergeCell ref="M36:N36"/>
    <mergeCell ref="O36:Q36"/>
    <mergeCell ref="H35:J35"/>
    <mergeCell ref="M35:N35"/>
    <mergeCell ref="K35:L35"/>
    <mergeCell ref="K36:L36"/>
    <mergeCell ref="H36:J36"/>
    <mergeCell ref="R35:V35"/>
    <mergeCell ref="R36:V36"/>
    <mergeCell ref="O38:Q38"/>
    <mergeCell ref="O37:Q37"/>
    <mergeCell ref="O76:Q76"/>
    <mergeCell ref="R72:V72"/>
    <mergeCell ref="D41:V41"/>
    <mergeCell ref="O39:Q39"/>
    <mergeCell ref="H40:J40"/>
    <mergeCell ref="M40:N40"/>
    <mergeCell ref="O40:Q40"/>
    <mergeCell ref="H39:J39"/>
    <mergeCell ref="M39:N39"/>
    <mergeCell ref="K39:L39"/>
    <mergeCell ref="K40:L40"/>
    <mergeCell ref="D39:G39"/>
    <mergeCell ref="D40:G40"/>
    <mergeCell ref="R39:V39"/>
    <mergeCell ref="R40:V40"/>
    <mergeCell ref="M62:N62"/>
    <mergeCell ref="O62:Q62"/>
    <mergeCell ref="R62:V62"/>
    <mergeCell ref="M42:N42"/>
    <mergeCell ref="O42:Q42"/>
    <mergeCell ref="R42:V42"/>
    <mergeCell ref="B43:V43"/>
    <mergeCell ref="D54:G54"/>
    <mergeCell ref="D55:G55"/>
    <mergeCell ref="B58:C58"/>
    <mergeCell ref="B73:C73"/>
    <mergeCell ref="A75:B76"/>
    <mergeCell ref="C75:C76"/>
    <mergeCell ref="B55:C55"/>
    <mergeCell ref="B68:C68"/>
    <mergeCell ref="B69:C69"/>
    <mergeCell ref="B70:C70"/>
    <mergeCell ref="B71:C71"/>
    <mergeCell ref="B72:C72"/>
    <mergeCell ref="B74:C74"/>
    <mergeCell ref="B67:V67"/>
    <mergeCell ref="D75:V75"/>
    <mergeCell ref="D72:G72"/>
    <mergeCell ref="H72:J72"/>
    <mergeCell ref="K72:L72"/>
    <mergeCell ref="M72:N72"/>
    <mergeCell ref="O72:Q72"/>
    <mergeCell ref="D73:G73"/>
    <mergeCell ref="R71:V71"/>
    <mergeCell ref="D76:G76"/>
    <mergeCell ref="H76:J76"/>
    <mergeCell ref="K76:L76"/>
    <mergeCell ref="M76:N76"/>
    <mergeCell ref="A7:V7"/>
    <mergeCell ref="B60:C60"/>
    <mergeCell ref="B59:V59"/>
    <mergeCell ref="B34:C34"/>
    <mergeCell ref="B35:C35"/>
    <mergeCell ref="B36:C36"/>
    <mergeCell ref="B37:C37"/>
    <mergeCell ref="B38:C38"/>
    <mergeCell ref="B39:C39"/>
    <mergeCell ref="B40:C40"/>
    <mergeCell ref="D31:E31"/>
    <mergeCell ref="G31:H31"/>
    <mergeCell ref="J31:K31"/>
    <mergeCell ref="N31:O31"/>
    <mergeCell ref="P31:R31"/>
    <mergeCell ref="S31:T31"/>
    <mergeCell ref="U31:V31"/>
    <mergeCell ref="B41:C42"/>
    <mergeCell ref="B54:C54"/>
    <mergeCell ref="B56:C56"/>
    <mergeCell ref="B57:C57"/>
    <mergeCell ref="D42:G42"/>
    <mergeCell ref="H42:J42"/>
    <mergeCell ref="K42:L42"/>
    <mergeCell ref="B65:C65"/>
    <mergeCell ref="B66:C66"/>
    <mergeCell ref="B63:C63"/>
    <mergeCell ref="B64:C64"/>
    <mergeCell ref="B61:C61"/>
    <mergeCell ref="B62:C62"/>
    <mergeCell ref="D62:G62"/>
    <mergeCell ref="H62:J62"/>
    <mergeCell ref="K62:L62"/>
    <mergeCell ref="D63:G63"/>
    <mergeCell ref="H63:J63"/>
    <mergeCell ref="K63:L63"/>
    <mergeCell ref="D65:G65"/>
    <mergeCell ref="H65:J65"/>
    <mergeCell ref="K65:L65"/>
    <mergeCell ref="H64:J64"/>
    <mergeCell ref="K64:L64"/>
    <mergeCell ref="D30:E30"/>
    <mergeCell ref="J30:K30"/>
    <mergeCell ref="N30:O30"/>
    <mergeCell ref="B44:C44"/>
    <mergeCell ref="B45:C45"/>
    <mergeCell ref="B46:C46"/>
    <mergeCell ref="B47:C47"/>
    <mergeCell ref="B48:C48"/>
    <mergeCell ref="B49:C49"/>
    <mergeCell ref="D44:G44"/>
    <mergeCell ref="D45:G45"/>
    <mergeCell ref="D46:G46"/>
    <mergeCell ref="D47:G47"/>
    <mergeCell ref="D48:G48"/>
    <mergeCell ref="D35:G35"/>
    <mergeCell ref="D36:G36"/>
    <mergeCell ref="H38:J38"/>
    <mergeCell ref="M38:N38"/>
    <mergeCell ref="H37:J37"/>
    <mergeCell ref="M37:N37"/>
    <mergeCell ref="K37:L37"/>
    <mergeCell ref="K38:L38"/>
    <mergeCell ref="D37:G37"/>
    <mergeCell ref="D38:G38"/>
    <mergeCell ref="B50:C50"/>
    <mergeCell ref="R54:V54"/>
    <mergeCell ref="H55:J55"/>
    <mergeCell ref="K55:L55"/>
    <mergeCell ref="M55:N55"/>
    <mergeCell ref="O55:Q55"/>
    <mergeCell ref="R55:V55"/>
    <mergeCell ref="H56:J56"/>
    <mergeCell ref="K56:L56"/>
    <mergeCell ref="D52:G52"/>
    <mergeCell ref="D53:G53"/>
    <mergeCell ref="B51:V51"/>
    <mergeCell ref="B52:C52"/>
    <mergeCell ref="D57:G57"/>
    <mergeCell ref="D58:G58"/>
    <mergeCell ref="D56:G56"/>
    <mergeCell ref="H52:J52"/>
    <mergeCell ref="K52:L52"/>
    <mergeCell ref="M52:N52"/>
    <mergeCell ref="O52:Q52"/>
    <mergeCell ref="R52:V52"/>
    <mergeCell ref="H53:J53"/>
    <mergeCell ref="K53:L53"/>
    <mergeCell ref="M53:N53"/>
    <mergeCell ref="O53:Q53"/>
    <mergeCell ref="R53:V53"/>
    <mergeCell ref="H54:J54"/>
    <mergeCell ref="K54:L54"/>
    <mergeCell ref="M54:N54"/>
    <mergeCell ref="O54:Q54"/>
    <mergeCell ref="M56:N56"/>
    <mergeCell ref="O56:Q56"/>
    <mergeCell ref="R56:V56"/>
    <mergeCell ref="H57:J57"/>
    <mergeCell ref="K57:L57"/>
    <mergeCell ref="M57:N57"/>
    <mergeCell ref="O57:Q57"/>
    <mergeCell ref="R57:V57"/>
    <mergeCell ref="H58:J58"/>
    <mergeCell ref="K58:L58"/>
    <mergeCell ref="M58:N58"/>
    <mergeCell ref="O58:Q58"/>
    <mergeCell ref="R58:V58"/>
    <mergeCell ref="A32:A74"/>
    <mergeCell ref="B53:C53"/>
    <mergeCell ref="D60:G60"/>
    <mergeCell ref="H60:J60"/>
    <mergeCell ref="K60:L60"/>
    <mergeCell ref="M60:N60"/>
    <mergeCell ref="O60:Q60"/>
    <mergeCell ref="R60:V60"/>
    <mergeCell ref="D61:G61"/>
    <mergeCell ref="H61:J61"/>
    <mergeCell ref="K61:L61"/>
    <mergeCell ref="M61:N61"/>
    <mergeCell ref="O61:Q61"/>
    <mergeCell ref="R61:V61"/>
    <mergeCell ref="M63:N63"/>
    <mergeCell ref="O63:Q63"/>
    <mergeCell ref="R63:V63"/>
    <mergeCell ref="D64:G64"/>
    <mergeCell ref="M64:N64"/>
    <mergeCell ref="O64:Q64"/>
    <mergeCell ref="R64:V64"/>
    <mergeCell ref="M65:N65"/>
    <mergeCell ref="O65:Q65"/>
    <mergeCell ref="R65:V65"/>
    <mergeCell ref="D66:G66"/>
    <mergeCell ref="H66:J66"/>
    <mergeCell ref="K66:L66"/>
    <mergeCell ref="M66:N66"/>
    <mergeCell ref="O66:Q66"/>
    <mergeCell ref="R66:V66"/>
    <mergeCell ref="R76:V76"/>
    <mergeCell ref="D68:G68"/>
    <mergeCell ref="H68:J68"/>
    <mergeCell ref="K68:L68"/>
    <mergeCell ref="M68:N68"/>
    <mergeCell ref="O68:Q68"/>
    <mergeCell ref="R68:V68"/>
    <mergeCell ref="D69:G69"/>
    <mergeCell ref="H69:J69"/>
    <mergeCell ref="K69:L69"/>
    <mergeCell ref="M69:N69"/>
    <mergeCell ref="O69:Q69"/>
    <mergeCell ref="R69:V69"/>
    <mergeCell ref="D70:G70"/>
    <mergeCell ref="H70:J70"/>
    <mergeCell ref="K70:L70"/>
    <mergeCell ref="M70:N70"/>
    <mergeCell ref="O70:Q70"/>
    <mergeCell ref="R70:V70"/>
    <mergeCell ref="D71:G71"/>
    <mergeCell ref="H71:J71"/>
    <mergeCell ref="K71:L71"/>
    <mergeCell ref="M71:N71"/>
    <mergeCell ref="O71:Q71"/>
    <mergeCell ref="H73:J73"/>
    <mergeCell ref="K73:L73"/>
    <mergeCell ref="M73:N73"/>
    <mergeCell ref="O73:Q73"/>
    <mergeCell ref="R73:V73"/>
    <mergeCell ref="D74:G74"/>
    <mergeCell ref="H74:J74"/>
    <mergeCell ref="K74:L74"/>
    <mergeCell ref="M74:N74"/>
    <mergeCell ref="O74:Q74"/>
    <mergeCell ref="R74:V74"/>
  </mergeCells>
  <pageMargins left="0.7" right="0.7" top="0.75" bottom="0.75" header="0.3" footer="0.3"/>
  <pageSetup paperSize="9" scale="47" orientation="landscape" r:id="rId1"/>
  <rowBreaks count="1" manualBreakCount="1">
    <brk id="40" max="21"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4.9989318521683403E-2"/>
  </sheetPr>
  <dimension ref="A1:X371"/>
  <sheetViews>
    <sheetView workbookViewId="0">
      <selection activeCell="L55" sqref="L55"/>
    </sheetView>
  </sheetViews>
  <sheetFormatPr defaultColWidth="9.140625" defaultRowHeight="15" x14ac:dyDescent="0.25"/>
  <cols>
    <col min="1" max="1" width="21" style="30" customWidth="1"/>
    <col min="2" max="2" width="27.140625" style="31" customWidth="1"/>
    <col min="3" max="3" width="23.140625" style="32" customWidth="1"/>
    <col min="4" max="4" width="37" style="32" customWidth="1"/>
    <col min="5" max="8" width="18.42578125" style="32" hidden="1" customWidth="1"/>
    <col min="9" max="9" width="18" style="112" hidden="1" customWidth="1"/>
    <col min="10" max="10" width="21.85546875" style="32" customWidth="1"/>
    <col min="11" max="11" width="17.28515625" style="32" customWidth="1"/>
    <col min="12" max="12" width="19.28515625" style="32" customWidth="1"/>
    <col min="13" max="13" width="0" style="32" hidden="1" customWidth="1"/>
    <col min="14" max="14" width="19.28515625" style="32" hidden="1" customWidth="1"/>
    <col min="15" max="15" width="22.5703125" style="32" hidden="1" customWidth="1"/>
    <col min="16" max="16" width="19.85546875" style="32" hidden="1" customWidth="1"/>
    <col min="17" max="17" width="25.5703125" style="32" hidden="1" customWidth="1"/>
    <col min="18" max="18" width="17.7109375" style="105" hidden="1" customWidth="1"/>
    <col min="19" max="19" width="15.140625" style="32" customWidth="1"/>
    <col min="20" max="16384" width="9.140625" style="32"/>
  </cols>
  <sheetData>
    <row r="1" spans="1:23" ht="15.75" x14ac:dyDescent="0.25">
      <c r="L1" s="33" t="s">
        <v>87</v>
      </c>
    </row>
    <row r="2" spans="1:23" x14ac:dyDescent="0.25">
      <c r="A2" s="442" t="s">
        <v>88</v>
      </c>
      <c r="B2" s="442"/>
      <c r="C2" s="442"/>
      <c r="D2" s="442"/>
      <c r="E2" s="442"/>
      <c r="F2" s="442"/>
      <c r="G2" s="442"/>
      <c r="H2" s="442"/>
      <c r="I2" s="442"/>
      <c r="J2" s="442"/>
      <c r="K2" s="442"/>
      <c r="L2" s="442"/>
    </row>
    <row r="3" spans="1:23" ht="15.75" x14ac:dyDescent="0.25">
      <c r="A3" s="34"/>
    </row>
    <row r="4" spans="1:23" x14ac:dyDescent="0.25">
      <c r="A4" s="443" t="s">
        <v>82</v>
      </c>
      <c r="B4" s="443" t="s">
        <v>89</v>
      </c>
      <c r="C4" s="443" t="s">
        <v>90</v>
      </c>
      <c r="D4" s="443" t="s">
        <v>9</v>
      </c>
      <c r="E4" s="443" t="s">
        <v>91</v>
      </c>
      <c r="F4" s="443"/>
      <c r="G4" s="443"/>
      <c r="H4" s="443"/>
      <c r="I4" s="443"/>
      <c r="J4" s="443"/>
      <c r="K4" s="443"/>
      <c r="L4" s="443"/>
      <c r="N4" s="32" t="s">
        <v>243</v>
      </c>
      <c r="O4" s="32" t="s">
        <v>244</v>
      </c>
      <c r="P4" s="146" t="s">
        <v>242</v>
      </c>
    </row>
    <row r="5" spans="1:23" x14ac:dyDescent="0.25">
      <c r="A5" s="443"/>
      <c r="B5" s="443"/>
      <c r="C5" s="443"/>
      <c r="D5" s="443"/>
      <c r="E5" s="443" t="s">
        <v>79</v>
      </c>
      <c r="F5" s="443"/>
      <c r="G5" s="443"/>
      <c r="H5" s="443"/>
      <c r="I5" s="443"/>
      <c r="J5" s="443"/>
      <c r="K5" s="443"/>
      <c r="L5" s="443"/>
    </row>
    <row r="6" spans="1:23" x14ac:dyDescent="0.25">
      <c r="A6" s="443"/>
      <c r="B6" s="443"/>
      <c r="C6" s="443"/>
      <c r="D6" s="443"/>
      <c r="E6" s="127" t="s">
        <v>12</v>
      </c>
      <c r="F6" s="127" t="s">
        <v>142</v>
      </c>
      <c r="G6" s="127" t="s">
        <v>143</v>
      </c>
      <c r="H6" s="127" t="s">
        <v>144</v>
      </c>
      <c r="I6" s="147" t="s">
        <v>117</v>
      </c>
      <c r="J6" s="127" t="s">
        <v>118</v>
      </c>
      <c r="K6" s="127" t="s">
        <v>119</v>
      </c>
      <c r="L6" s="127" t="s">
        <v>120</v>
      </c>
      <c r="P6" s="127" t="s">
        <v>117</v>
      </c>
    </row>
    <row r="7" spans="1:23" s="37" customFormat="1" ht="12" x14ac:dyDescent="0.2">
      <c r="A7" s="35">
        <v>1</v>
      </c>
      <c r="B7" s="36">
        <v>2</v>
      </c>
      <c r="C7" s="35">
        <v>3</v>
      </c>
      <c r="D7" s="35">
        <v>4</v>
      </c>
      <c r="E7" s="35">
        <v>5</v>
      </c>
      <c r="F7" s="35">
        <v>6</v>
      </c>
      <c r="G7" s="35">
        <v>7</v>
      </c>
      <c r="H7" s="35">
        <v>8</v>
      </c>
      <c r="I7" s="148">
        <v>9</v>
      </c>
      <c r="J7" s="35">
        <v>10</v>
      </c>
      <c r="K7" s="35">
        <v>11</v>
      </c>
      <c r="L7" s="35">
        <v>12</v>
      </c>
      <c r="P7" s="35">
        <v>9</v>
      </c>
      <c r="R7" s="106"/>
    </row>
    <row r="8" spans="1:23" x14ac:dyDescent="0.25">
      <c r="A8" s="444" t="s">
        <v>239</v>
      </c>
      <c r="B8" s="444"/>
      <c r="C8" s="444"/>
      <c r="D8" s="444"/>
      <c r="E8" s="444"/>
      <c r="F8" s="444"/>
      <c r="G8" s="444"/>
      <c r="H8" s="444"/>
      <c r="I8" s="444"/>
      <c r="J8" s="444"/>
      <c r="K8" s="444"/>
      <c r="L8" s="444"/>
    </row>
    <row r="9" spans="1:23" hidden="1" x14ac:dyDescent="0.25">
      <c r="A9" s="445"/>
      <c r="B9" s="446"/>
      <c r="C9" s="447"/>
      <c r="D9" s="125" t="s">
        <v>12</v>
      </c>
      <c r="E9" s="39">
        <f>SUM(F9:L9)</f>
        <v>0</v>
      </c>
      <c r="F9" s="39">
        <f t="shared" ref="F9:H9" si="0">SUM(F10:F15)</f>
        <v>0</v>
      </c>
      <c r="G9" s="39">
        <f t="shared" si="0"/>
        <v>0</v>
      </c>
      <c r="H9" s="39">
        <f t="shared" si="0"/>
        <v>0</v>
      </c>
      <c r="I9" s="149">
        <f>SUM(I10:I15)</f>
        <v>0</v>
      </c>
      <c r="J9" s="39">
        <f t="shared" ref="J9:L9" si="1">SUM(J10:J15)</f>
        <v>0</v>
      </c>
      <c r="K9" s="38">
        <f t="shared" si="1"/>
        <v>0</v>
      </c>
      <c r="L9" s="38">
        <f t="shared" si="1"/>
        <v>0</v>
      </c>
      <c r="P9" s="39">
        <f>SUM(P10:P15)</f>
        <v>0</v>
      </c>
    </row>
    <row r="10" spans="1:23" ht="18.75" hidden="1" x14ac:dyDescent="0.3">
      <c r="A10" s="445"/>
      <c r="B10" s="446"/>
      <c r="C10" s="447"/>
      <c r="D10" s="125" t="s">
        <v>13</v>
      </c>
      <c r="E10" s="39">
        <f t="shared" ref="E10:E78" si="2">SUM(F10:L10)</f>
        <v>0</v>
      </c>
      <c r="F10" s="39"/>
      <c r="G10" s="39"/>
      <c r="H10" s="39"/>
      <c r="I10" s="149">
        <v>0</v>
      </c>
      <c r="J10" s="44">
        <v>0</v>
      </c>
      <c r="K10" s="38">
        <v>0</v>
      </c>
      <c r="L10" s="38">
        <v>0</v>
      </c>
      <c r="M10" s="97"/>
      <c r="N10" s="97"/>
      <c r="O10" s="97"/>
      <c r="P10" s="39">
        <v>0</v>
      </c>
      <c r="Q10" s="97"/>
      <c r="R10" s="150"/>
      <c r="S10" s="97"/>
      <c r="T10" s="97"/>
      <c r="U10" s="97"/>
      <c r="V10" s="40"/>
      <c r="W10" s="40"/>
    </row>
    <row r="11" spans="1:23" hidden="1" x14ac:dyDescent="0.25">
      <c r="A11" s="445"/>
      <c r="B11" s="446"/>
      <c r="C11" s="447"/>
      <c r="D11" s="125" t="s">
        <v>14</v>
      </c>
      <c r="E11" s="39">
        <f t="shared" si="2"/>
        <v>0</v>
      </c>
      <c r="F11" s="39">
        <v>0</v>
      </c>
      <c r="G11" s="39">
        <v>0</v>
      </c>
      <c r="H11" s="39">
        <v>0</v>
      </c>
      <c r="I11" s="149">
        <v>0</v>
      </c>
      <c r="J11" s="39">
        <v>0</v>
      </c>
      <c r="K11" s="39">
        <v>0</v>
      </c>
      <c r="L11" s="39">
        <v>0</v>
      </c>
      <c r="P11" s="39">
        <v>0</v>
      </c>
    </row>
    <row r="12" spans="1:23" hidden="1" x14ac:dyDescent="0.25">
      <c r="A12" s="445"/>
      <c r="B12" s="446"/>
      <c r="C12" s="447"/>
      <c r="D12" s="125" t="s">
        <v>15</v>
      </c>
      <c r="E12" s="39">
        <f t="shared" si="2"/>
        <v>0</v>
      </c>
      <c r="F12" s="39">
        <v>0</v>
      </c>
      <c r="G12" s="39">
        <v>0</v>
      </c>
      <c r="H12" s="39">
        <v>0</v>
      </c>
      <c r="I12" s="149">
        <v>0</v>
      </c>
      <c r="J12" s="39">
        <v>0</v>
      </c>
      <c r="K12" s="39">
        <v>0</v>
      </c>
      <c r="L12" s="39">
        <v>0</v>
      </c>
      <c r="P12" s="39">
        <v>0</v>
      </c>
    </row>
    <row r="13" spans="1:23" ht="30" hidden="1" x14ac:dyDescent="0.25">
      <c r="A13" s="445"/>
      <c r="B13" s="446"/>
      <c r="C13" s="447"/>
      <c r="D13" s="124" t="s">
        <v>92</v>
      </c>
      <c r="E13" s="39">
        <f t="shared" si="2"/>
        <v>0</v>
      </c>
      <c r="F13" s="39">
        <v>0</v>
      </c>
      <c r="G13" s="39">
        <v>0</v>
      </c>
      <c r="H13" s="39">
        <v>0</v>
      </c>
      <c r="I13" s="149">
        <v>0</v>
      </c>
      <c r="J13" s="39">
        <v>0</v>
      </c>
      <c r="K13" s="39">
        <v>0</v>
      </c>
      <c r="L13" s="39">
        <v>0</v>
      </c>
      <c r="P13" s="39">
        <v>0</v>
      </c>
    </row>
    <row r="14" spans="1:23" hidden="1" x14ac:dyDescent="0.25">
      <c r="A14" s="445"/>
      <c r="B14" s="446"/>
      <c r="C14" s="447"/>
      <c r="D14" s="124" t="s">
        <v>93</v>
      </c>
      <c r="E14" s="39">
        <f t="shared" si="2"/>
        <v>0</v>
      </c>
      <c r="F14" s="39">
        <v>0</v>
      </c>
      <c r="G14" s="39">
        <v>0</v>
      </c>
      <c r="H14" s="39">
        <v>0</v>
      </c>
      <c r="I14" s="149">
        <v>0</v>
      </c>
      <c r="J14" s="39">
        <v>0</v>
      </c>
      <c r="K14" s="39">
        <v>0</v>
      </c>
      <c r="L14" s="39">
        <v>0</v>
      </c>
      <c r="P14" s="39">
        <v>0</v>
      </c>
    </row>
    <row r="15" spans="1:23" hidden="1" x14ac:dyDescent="0.25">
      <c r="A15" s="445"/>
      <c r="B15" s="446"/>
      <c r="C15" s="447"/>
      <c r="D15" s="125" t="s">
        <v>18</v>
      </c>
      <c r="E15" s="39">
        <f t="shared" si="2"/>
        <v>0</v>
      </c>
      <c r="F15" s="39">
        <v>0</v>
      </c>
      <c r="G15" s="39">
        <v>0</v>
      </c>
      <c r="H15" s="39">
        <v>0</v>
      </c>
      <c r="I15" s="149">
        <v>0</v>
      </c>
      <c r="J15" s="39">
        <v>0</v>
      </c>
      <c r="K15" s="39">
        <v>0</v>
      </c>
      <c r="L15" s="39">
        <v>0</v>
      </c>
      <c r="P15" s="39">
        <v>0</v>
      </c>
    </row>
    <row r="16" spans="1:23" hidden="1" x14ac:dyDescent="0.25">
      <c r="A16" s="445"/>
      <c r="B16" s="446"/>
      <c r="C16" s="447"/>
      <c r="D16" s="125" t="s">
        <v>12</v>
      </c>
      <c r="E16" s="39">
        <f t="shared" si="2"/>
        <v>0</v>
      </c>
      <c r="F16" s="39">
        <f t="shared" ref="F16:H16" si="3">SUM(F17:F22)</f>
        <v>0</v>
      </c>
      <c r="G16" s="39">
        <f t="shared" si="3"/>
        <v>0</v>
      </c>
      <c r="H16" s="39">
        <f t="shared" si="3"/>
        <v>0</v>
      </c>
      <c r="I16" s="149">
        <f>SUM(I17:I22)</f>
        <v>0</v>
      </c>
      <c r="J16" s="39">
        <f t="shared" ref="J16:L16" si="4">SUM(J17:J22)</f>
        <v>0</v>
      </c>
      <c r="K16" s="38">
        <f t="shared" si="4"/>
        <v>0</v>
      </c>
      <c r="L16" s="38">
        <f t="shared" si="4"/>
        <v>0</v>
      </c>
      <c r="P16" s="39">
        <f>SUM(P17:P22)</f>
        <v>0</v>
      </c>
    </row>
    <row r="17" spans="1:16" s="32" customFormat="1" hidden="1" x14ac:dyDescent="0.25">
      <c r="A17" s="445"/>
      <c r="B17" s="446"/>
      <c r="C17" s="447"/>
      <c r="D17" s="125" t="s">
        <v>13</v>
      </c>
      <c r="E17" s="39">
        <f t="shared" si="2"/>
        <v>0</v>
      </c>
      <c r="F17" s="39">
        <v>0</v>
      </c>
      <c r="G17" s="39">
        <v>0</v>
      </c>
      <c r="H17" s="39">
        <v>0</v>
      </c>
      <c r="I17" s="149">
        <v>0</v>
      </c>
      <c r="J17" s="44">
        <v>0</v>
      </c>
      <c r="K17" s="39">
        <v>0</v>
      </c>
      <c r="L17" s="39">
        <v>0</v>
      </c>
      <c r="P17" s="39">
        <v>0</v>
      </c>
    </row>
    <row r="18" spans="1:16" s="32" customFormat="1" hidden="1" x14ac:dyDescent="0.25">
      <c r="A18" s="445"/>
      <c r="B18" s="446"/>
      <c r="C18" s="447"/>
      <c r="D18" s="125" t="s">
        <v>14</v>
      </c>
      <c r="E18" s="39">
        <f t="shared" si="2"/>
        <v>0</v>
      </c>
      <c r="F18" s="39">
        <v>0</v>
      </c>
      <c r="G18" s="39">
        <v>0</v>
      </c>
      <c r="H18" s="39">
        <v>0</v>
      </c>
      <c r="I18" s="149">
        <v>0</v>
      </c>
      <c r="J18" s="39">
        <v>0</v>
      </c>
      <c r="K18" s="39">
        <v>0</v>
      </c>
      <c r="L18" s="39">
        <v>0</v>
      </c>
      <c r="P18" s="39">
        <v>0</v>
      </c>
    </row>
    <row r="19" spans="1:16" s="32" customFormat="1" hidden="1" x14ac:dyDescent="0.25">
      <c r="A19" s="445"/>
      <c r="B19" s="446"/>
      <c r="C19" s="447"/>
      <c r="D19" s="125" t="s">
        <v>15</v>
      </c>
      <c r="E19" s="39">
        <f t="shared" si="2"/>
        <v>0</v>
      </c>
      <c r="F19" s="39">
        <v>0</v>
      </c>
      <c r="G19" s="39">
        <v>0</v>
      </c>
      <c r="H19" s="39">
        <v>0</v>
      </c>
      <c r="I19" s="149">
        <v>0</v>
      </c>
      <c r="J19" s="39">
        <v>0</v>
      </c>
      <c r="K19" s="39">
        <v>0</v>
      </c>
      <c r="L19" s="39">
        <v>0</v>
      </c>
      <c r="P19" s="39">
        <v>0</v>
      </c>
    </row>
    <row r="20" spans="1:16" s="32" customFormat="1" ht="30" hidden="1" x14ac:dyDescent="0.25">
      <c r="A20" s="445"/>
      <c r="B20" s="446"/>
      <c r="C20" s="447"/>
      <c r="D20" s="124" t="s">
        <v>92</v>
      </c>
      <c r="E20" s="39">
        <f t="shared" si="2"/>
        <v>0</v>
      </c>
      <c r="F20" s="39">
        <v>0</v>
      </c>
      <c r="G20" s="39">
        <v>0</v>
      </c>
      <c r="H20" s="39">
        <v>0</v>
      </c>
      <c r="I20" s="149">
        <v>0</v>
      </c>
      <c r="J20" s="39">
        <v>0</v>
      </c>
      <c r="K20" s="39">
        <v>0</v>
      </c>
      <c r="L20" s="39">
        <v>0</v>
      </c>
      <c r="P20" s="39">
        <v>0</v>
      </c>
    </row>
    <row r="21" spans="1:16" s="32" customFormat="1" hidden="1" x14ac:dyDescent="0.25">
      <c r="A21" s="445"/>
      <c r="B21" s="446"/>
      <c r="C21" s="447"/>
      <c r="D21" s="124" t="s">
        <v>93</v>
      </c>
      <c r="E21" s="38">
        <f t="shared" si="2"/>
        <v>0</v>
      </c>
      <c r="F21" s="39">
        <v>0</v>
      </c>
      <c r="G21" s="39">
        <v>0</v>
      </c>
      <c r="H21" s="39">
        <v>0</v>
      </c>
      <c r="I21" s="149">
        <v>0</v>
      </c>
      <c r="J21" s="39">
        <v>0</v>
      </c>
      <c r="K21" s="39">
        <v>0</v>
      </c>
      <c r="L21" s="39">
        <v>0</v>
      </c>
      <c r="P21" s="39">
        <v>0</v>
      </c>
    </row>
    <row r="22" spans="1:16" s="32" customFormat="1" hidden="1" x14ac:dyDescent="0.25">
      <c r="A22" s="445"/>
      <c r="B22" s="446"/>
      <c r="C22" s="447"/>
      <c r="D22" s="125" t="s">
        <v>18</v>
      </c>
      <c r="E22" s="38">
        <f t="shared" si="2"/>
        <v>0</v>
      </c>
      <c r="F22" s="39">
        <v>0</v>
      </c>
      <c r="G22" s="39">
        <v>0</v>
      </c>
      <c r="H22" s="39">
        <v>0</v>
      </c>
      <c r="I22" s="149">
        <v>0</v>
      </c>
      <c r="J22" s="39">
        <v>0</v>
      </c>
      <c r="K22" s="39">
        <v>0</v>
      </c>
      <c r="L22" s="39">
        <v>0</v>
      </c>
      <c r="P22" s="39">
        <v>0</v>
      </c>
    </row>
    <row r="23" spans="1:16" s="32" customFormat="1" hidden="1" x14ac:dyDescent="0.25">
      <c r="A23" s="445"/>
      <c r="B23" s="446"/>
      <c r="C23" s="447"/>
      <c r="D23" s="125" t="s">
        <v>12</v>
      </c>
      <c r="E23" s="38">
        <f t="shared" si="2"/>
        <v>0</v>
      </c>
      <c r="F23" s="38">
        <f t="shared" ref="F23:H23" si="5">SUM(F24:F29)</f>
        <v>0</v>
      </c>
      <c r="G23" s="38">
        <f t="shared" si="5"/>
        <v>0</v>
      </c>
      <c r="H23" s="38">
        <f t="shared" si="5"/>
        <v>0</v>
      </c>
      <c r="I23" s="151">
        <f>SUM(I24:I29)</f>
        <v>0</v>
      </c>
      <c r="J23" s="38">
        <f t="shared" ref="J23:L23" si="6">SUM(J24:J29)</f>
        <v>0</v>
      </c>
      <c r="K23" s="38">
        <f t="shared" si="6"/>
        <v>0</v>
      </c>
      <c r="L23" s="38">
        <f t="shared" si="6"/>
        <v>0</v>
      </c>
      <c r="P23" s="38">
        <f>SUM(P24:P29)</f>
        <v>0</v>
      </c>
    </row>
    <row r="24" spans="1:16" s="32" customFormat="1" hidden="1" x14ac:dyDescent="0.25">
      <c r="A24" s="445"/>
      <c r="B24" s="446"/>
      <c r="C24" s="447"/>
      <c r="D24" s="125" t="s">
        <v>13</v>
      </c>
      <c r="E24" s="38">
        <f t="shared" si="2"/>
        <v>0</v>
      </c>
      <c r="F24" s="39">
        <v>0</v>
      </c>
      <c r="G24" s="39">
        <v>0</v>
      </c>
      <c r="H24" s="39">
        <v>0</v>
      </c>
      <c r="I24" s="149">
        <v>0</v>
      </c>
      <c r="J24" s="39">
        <v>0</v>
      </c>
      <c r="K24" s="39">
        <v>0</v>
      </c>
      <c r="L24" s="39">
        <v>0</v>
      </c>
      <c r="P24" s="39">
        <v>0</v>
      </c>
    </row>
    <row r="25" spans="1:16" s="32" customFormat="1" hidden="1" x14ac:dyDescent="0.25">
      <c r="A25" s="445"/>
      <c r="B25" s="446"/>
      <c r="C25" s="447"/>
      <c r="D25" s="125" t="s">
        <v>14</v>
      </c>
      <c r="E25" s="38">
        <f t="shared" si="2"/>
        <v>0</v>
      </c>
      <c r="F25" s="39">
        <v>0</v>
      </c>
      <c r="G25" s="39">
        <v>0</v>
      </c>
      <c r="H25" s="39">
        <v>0</v>
      </c>
      <c r="I25" s="149">
        <v>0</v>
      </c>
      <c r="J25" s="39">
        <v>0</v>
      </c>
      <c r="K25" s="39">
        <v>0</v>
      </c>
      <c r="L25" s="39">
        <v>0</v>
      </c>
      <c r="P25" s="39">
        <v>0</v>
      </c>
    </row>
    <row r="26" spans="1:16" s="32" customFormat="1" hidden="1" x14ac:dyDescent="0.25">
      <c r="A26" s="445"/>
      <c r="B26" s="446"/>
      <c r="C26" s="447"/>
      <c r="D26" s="125" t="s">
        <v>15</v>
      </c>
      <c r="E26" s="38">
        <f t="shared" si="2"/>
        <v>0</v>
      </c>
      <c r="F26" s="39">
        <v>0</v>
      </c>
      <c r="G26" s="39">
        <v>0</v>
      </c>
      <c r="H26" s="39">
        <v>0</v>
      </c>
      <c r="I26" s="149">
        <v>0</v>
      </c>
      <c r="J26" s="39">
        <v>0</v>
      </c>
      <c r="K26" s="39">
        <v>0</v>
      </c>
      <c r="L26" s="39">
        <v>0</v>
      </c>
      <c r="P26" s="39">
        <v>0</v>
      </c>
    </row>
    <row r="27" spans="1:16" s="32" customFormat="1" ht="30" hidden="1" x14ac:dyDescent="0.25">
      <c r="A27" s="445"/>
      <c r="B27" s="446"/>
      <c r="C27" s="447"/>
      <c r="D27" s="124" t="s">
        <v>92</v>
      </c>
      <c r="E27" s="38">
        <f t="shared" si="2"/>
        <v>0</v>
      </c>
      <c r="F27" s="39">
        <v>0</v>
      </c>
      <c r="G27" s="39">
        <v>0</v>
      </c>
      <c r="H27" s="39">
        <v>0</v>
      </c>
      <c r="I27" s="149">
        <v>0</v>
      </c>
      <c r="J27" s="39">
        <v>0</v>
      </c>
      <c r="K27" s="39">
        <v>0</v>
      </c>
      <c r="L27" s="39">
        <v>0</v>
      </c>
      <c r="P27" s="39">
        <v>0</v>
      </c>
    </row>
    <row r="28" spans="1:16" s="32" customFormat="1" hidden="1" x14ac:dyDescent="0.25">
      <c r="A28" s="445"/>
      <c r="B28" s="446"/>
      <c r="C28" s="447"/>
      <c r="D28" s="124" t="s">
        <v>93</v>
      </c>
      <c r="E28" s="38">
        <f t="shared" si="2"/>
        <v>0</v>
      </c>
      <c r="F28" s="39">
        <v>0</v>
      </c>
      <c r="G28" s="39">
        <v>0</v>
      </c>
      <c r="H28" s="39">
        <v>0</v>
      </c>
      <c r="I28" s="149">
        <v>0</v>
      </c>
      <c r="J28" s="39">
        <v>0</v>
      </c>
      <c r="K28" s="39">
        <v>0</v>
      </c>
      <c r="L28" s="39">
        <v>0</v>
      </c>
      <c r="P28" s="39">
        <v>0</v>
      </c>
    </row>
    <row r="29" spans="1:16" s="32" customFormat="1" hidden="1" x14ac:dyDescent="0.25">
      <c r="A29" s="445"/>
      <c r="B29" s="446"/>
      <c r="C29" s="447"/>
      <c r="D29" s="125" t="s">
        <v>18</v>
      </c>
      <c r="E29" s="38">
        <f t="shared" si="2"/>
        <v>0</v>
      </c>
      <c r="F29" s="39">
        <v>0</v>
      </c>
      <c r="G29" s="39">
        <v>0</v>
      </c>
      <c r="H29" s="39">
        <v>0</v>
      </c>
      <c r="I29" s="149">
        <v>0</v>
      </c>
      <c r="J29" s="39">
        <v>0</v>
      </c>
      <c r="K29" s="39">
        <v>0</v>
      </c>
      <c r="L29" s="39">
        <v>0</v>
      </c>
      <c r="P29" s="39">
        <v>0</v>
      </c>
    </row>
    <row r="30" spans="1:16" s="32" customFormat="1" x14ac:dyDescent="0.25">
      <c r="A30" s="445"/>
      <c r="B30" s="446" t="s">
        <v>191</v>
      </c>
      <c r="C30" s="447" t="s">
        <v>134</v>
      </c>
      <c r="D30" s="125" t="s">
        <v>12</v>
      </c>
      <c r="E30" s="38">
        <f t="shared" si="2"/>
        <v>0</v>
      </c>
      <c r="F30" s="38">
        <f t="shared" ref="F30:H30" si="7">SUM(F31:F36)</f>
        <v>0</v>
      </c>
      <c r="G30" s="38">
        <f t="shared" si="7"/>
        <v>0</v>
      </c>
      <c r="H30" s="38">
        <f t="shared" si="7"/>
        <v>0</v>
      </c>
      <c r="I30" s="151">
        <f>SUM(I31:I36)</f>
        <v>0</v>
      </c>
      <c r="J30" s="38">
        <f t="shared" ref="J30:L30" si="8">SUM(J31:J36)</f>
        <v>0</v>
      </c>
      <c r="K30" s="38">
        <f t="shared" si="8"/>
        <v>0</v>
      </c>
      <c r="L30" s="38">
        <f t="shared" si="8"/>
        <v>0</v>
      </c>
      <c r="N30" s="57">
        <f>I30-P30</f>
        <v>0</v>
      </c>
      <c r="P30" s="38">
        <f>SUM(P31:P36)</f>
        <v>0</v>
      </c>
    </row>
    <row r="31" spans="1:16" s="32" customFormat="1" x14ac:dyDescent="0.25">
      <c r="A31" s="445"/>
      <c r="B31" s="446"/>
      <c r="C31" s="447"/>
      <c r="D31" s="125" t="s">
        <v>13</v>
      </c>
      <c r="E31" s="38">
        <f t="shared" si="2"/>
        <v>0</v>
      </c>
      <c r="F31" s="39">
        <v>0</v>
      </c>
      <c r="G31" s="39">
        <v>0</v>
      </c>
      <c r="H31" s="39">
        <v>0</v>
      </c>
      <c r="I31" s="149">
        <v>0</v>
      </c>
      <c r="J31" s="39">
        <v>0</v>
      </c>
      <c r="K31" s="39">
        <v>0</v>
      </c>
      <c r="L31" s="39">
        <v>0</v>
      </c>
      <c r="N31" s="57">
        <f t="shared" ref="N31:N94" si="9">I31-P31</f>
        <v>0</v>
      </c>
      <c r="P31" s="39">
        <v>0</v>
      </c>
    </row>
    <row r="32" spans="1:16" s="32" customFormat="1" x14ac:dyDescent="0.25">
      <c r="A32" s="445"/>
      <c r="B32" s="446"/>
      <c r="C32" s="447"/>
      <c r="D32" s="125" t="s">
        <v>14</v>
      </c>
      <c r="E32" s="38">
        <f t="shared" si="2"/>
        <v>0</v>
      </c>
      <c r="F32" s="39">
        <v>0</v>
      </c>
      <c r="G32" s="39">
        <v>0</v>
      </c>
      <c r="H32" s="39">
        <v>0</v>
      </c>
      <c r="I32" s="149">
        <v>0</v>
      </c>
      <c r="J32" s="39">
        <v>0</v>
      </c>
      <c r="K32" s="39">
        <v>0</v>
      </c>
      <c r="L32" s="39">
        <v>0</v>
      </c>
      <c r="N32" s="57">
        <f t="shared" si="9"/>
        <v>0</v>
      </c>
      <c r="P32" s="39">
        <v>0</v>
      </c>
    </row>
    <row r="33" spans="1:18" x14ac:dyDescent="0.25">
      <c r="A33" s="445"/>
      <c r="B33" s="446"/>
      <c r="C33" s="447"/>
      <c r="D33" s="125" t="s">
        <v>15</v>
      </c>
      <c r="E33" s="38">
        <f t="shared" si="2"/>
        <v>0</v>
      </c>
      <c r="F33" s="39">
        <v>0</v>
      </c>
      <c r="G33" s="39">
        <v>0</v>
      </c>
      <c r="H33" s="39">
        <v>0</v>
      </c>
      <c r="I33" s="149">
        <v>0</v>
      </c>
      <c r="J33" s="39">
        <v>0</v>
      </c>
      <c r="K33" s="39">
        <v>0</v>
      </c>
      <c r="L33" s="39">
        <v>0</v>
      </c>
      <c r="N33" s="57">
        <f t="shared" si="9"/>
        <v>0</v>
      </c>
      <c r="P33" s="39">
        <v>0</v>
      </c>
    </row>
    <row r="34" spans="1:18" ht="30" x14ac:dyDescent="0.25">
      <c r="A34" s="445"/>
      <c r="B34" s="446"/>
      <c r="C34" s="447"/>
      <c r="D34" s="124" t="s">
        <v>94</v>
      </c>
      <c r="E34" s="38">
        <f t="shared" si="2"/>
        <v>0</v>
      </c>
      <c r="F34" s="39">
        <v>0</v>
      </c>
      <c r="G34" s="39">
        <v>0</v>
      </c>
      <c r="H34" s="39">
        <v>0</v>
      </c>
      <c r="I34" s="149">
        <v>0</v>
      </c>
      <c r="J34" s="39">
        <v>0</v>
      </c>
      <c r="K34" s="39">
        <v>0</v>
      </c>
      <c r="L34" s="39">
        <v>0</v>
      </c>
      <c r="N34" s="57">
        <f t="shared" si="9"/>
        <v>0</v>
      </c>
      <c r="P34" s="39">
        <v>0</v>
      </c>
    </row>
    <row r="35" spans="1:18" x14ac:dyDescent="0.25">
      <c r="A35" s="445"/>
      <c r="B35" s="446"/>
      <c r="C35" s="447"/>
      <c r="D35" s="124" t="s">
        <v>93</v>
      </c>
      <c r="E35" s="38">
        <f t="shared" si="2"/>
        <v>0</v>
      </c>
      <c r="F35" s="39">
        <v>0</v>
      </c>
      <c r="G35" s="39">
        <v>0</v>
      </c>
      <c r="H35" s="39">
        <v>0</v>
      </c>
      <c r="I35" s="149">
        <v>0</v>
      </c>
      <c r="J35" s="39">
        <v>0</v>
      </c>
      <c r="K35" s="39">
        <v>0</v>
      </c>
      <c r="L35" s="39">
        <v>0</v>
      </c>
      <c r="N35" s="57">
        <f t="shared" si="9"/>
        <v>0</v>
      </c>
      <c r="P35" s="39">
        <v>0</v>
      </c>
    </row>
    <row r="36" spans="1:18" s="146" customFormat="1" x14ac:dyDescent="0.25">
      <c r="A36" s="445"/>
      <c r="B36" s="446"/>
      <c r="C36" s="447"/>
      <c r="D36" s="128" t="s">
        <v>18</v>
      </c>
      <c r="E36" s="131">
        <f t="shared" si="2"/>
        <v>0</v>
      </c>
      <c r="F36" s="129">
        <v>0</v>
      </c>
      <c r="G36" s="129">
        <v>0</v>
      </c>
      <c r="H36" s="129">
        <v>0</v>
      </c>
      <c r="I36" s="152">
        <v>0</v>
      </c>
      <c r="J36" s="129">
        <v>0</v>
      </c>
      <c r="K36" s="129">
        <v>0</v>
      </c>
      <c r="L36" s="129">
        <v>0</v>
      </c>
      <c r="N36" s="153">
        <f t="shared" si="9"/>
        <v>0</v>
      </c>
      <c r="P36" s="129">
        <v>0</v>
      </c>
      <c r="R36" s="154"/>
    </row>
    <row r="37" spans="1:18" s="40" customFormat="1" x14ac:dyDescent="0.25">
      <c r="A37" s="451" t="s">
        <v>86</v>
      </c>
      <c r="B37" s="454" t="s">
        <v>192</v>
      </c>
      <c r="C37" s="515" t="s">
        <v>179</v>
      </c>
      <c r="D37" s="133" t="s">
        <v>12</v>
      </c>
      <c r="E37" s="134">
        <f t="shared" si="2"/>
        <v>1510226.3391199999</v>
      </c>
      <c r="F37" s="155">
        <f t="shared" ref="F37:H37" si="10">SUM(F38:F43)</f>
        <v>279492.61495000002</v>
      </c>
      <c r="G37" s="134">
        <f t="shared" si="10"/>
        <v>273706.81309000001</v>
      </c>
      <c r="H37" s="134">
        <f t="shared" si="10"/>
        <v>267212.29514</v>
      </c>
      <c r="I37" s="156">
        <f>SUM(I38:I43)</f>
        <v>474767.93293999997</v>
      </c>
      <c r="J37" s="134">
        <f t="shared" ref="J37:L37" si="11">SUM(J38:J43)</f>
        <v>171409.68299999999</v>
      </c>
      <c r="K37" s="134">
        <f t="shared" si="11"/>
        <v>3137</v>
      </c>
      <c r="L37" s="134">
        <f t="shared" si="11"/>
        <v>40500</v>
      </c>
      <c r="N37" s="57">
        <f t="shared" si="9"/>
        <v>-33325.866670000018</v>
      </c>
      <c r="P37" s="39">
        <f>SUM(P38:P43)</f>
        <v>508093.79960999999</v>
      </c>
      <c r="R37" s="107"/>
    </row>
    <row r="38" spans="1:18" x14ac:dyDescent="0.25">
      <c r="A38" s="452"/>
      <c r="B38" s="455"/>
      <c r="C38" s="516"/>
      <c r="D38" s="133" t="s">
        <v>13</v>
      </c>
      <c r="E38" s="134">
        <f t="shared" si="2"/>
        <v>0</v>
      </c>
      <c r="F38" s="155">
        <f>F45+F52</f>
        <v>0</v>
      </c>
      <c r="G38" s="134">
        <f t="shared" ref="G38:L38" si="12">G45+G52</f>
        <v>0</v>
      </c>
      <c r="H38" s="134">
        <f t="shared" si="12"/>
        <v>0</v>
      </c>
      <c r="I38" s="156">
        <f t="shared" si="12"/>
        <v>0</v>
      </c>
      <c r="J38" s="134">
        <f t="shared" si="12"/>
        <v>0</v>
      </c>
      <c r="K38" s="134">
        <f t="shared" si="12"/>
        <v>0</v>
      </c>
      <c r="L38" s="134">
        <f t="shared" si="12"/>
        <v>0</v>
      </c>
      <c r="N38" s="57">
        <f t="shared" si="9"/>
        <v>0</v>
      </c>
      <c r="P38" s="39">
        <f t="shared" ref="P38:P43" si="13">P45+P52</f>
        <v>0</v>
      </c>
    </row>
    <row r="39" spans="1:18" x14ac:dyDescent="0.25">
      <c r="A39" s="452"/>
      <c r="B39" s="455"/>
      <c r="C39" s="516"/>
      <c r="D39" s="133" t="s">
        <v>14</v>
      </c>
      <c r="E39" s="134">
        <f t="shared" si="2"/>
        <v>11494.5</v>
      </c>
      <c r="F39" s="155">
        <f t="shared" ref="F39:L43" si="14">F46+F53</f>
        <v>5644.5</v>
      </c>
      <c r="G39" s="134">
        <f t="shared" si="14"/>
        <v>4200</v>
      </c>
      <c r="H39" s="134">
        <f t="shared" si="14"/>
        <v>200</v>
      </c>
      <c r="I39" s="156">
        <f t="shared" si="14"/>
        <v>1450</v>
      </c>
      <c r="J39" s="134">
        <f t="shared" si="14"/>
        <v>0</v>
      </c>
      <c r="K39" s="134">
        <f t="shared" si="14"/>
        <v>0</v>
      </c>
      <c r="L39" s="134">
        <f t="shared" si="14"/>
        <v>0</v>
      </c>
      <c r="N39" s="57">
        <f t="shared" si="9"/>
        <v>1450</v>
      </c>
      <c r="P39" s="39">
        <f t="shared" si="13"/>
        <v>0</v>
      </c>
    </row>
    <row r="40" spans="1:18" x14ac:dyDescent="0.25">
      <c r="A40" s="452"/>
      <c r="B40" s="455"/>
      <c r="C40" s="516"/>
      <c r="D40" s="133" t="s">
        <v>15</v>
      </c>
      <c r="E40" s="134">
        <f t="shared" si="2"/>
        <v>1076336.7861199998</v>
      </c>
      <c r="F40" s="155">
        <f t="shared" si="14"/>
        <v>273848.11495000002</v>
      </c>
      <c r="G40" s="134">
        <f t="shared" si="14"/>
        <v>269506.81309000001</v>
      </c>
      <c r="H40" s="134">
        <f t="shared" si="14"/>
        <v>267012.29514</v>
      </c>
      <c r="I40" s="156">
        <f t="shared" si="14"/>
        <v>265769.56293999997</v>
      </c>
      <c r="J40" s="134">
        <f t="shared" si="14"/>
        <v>200</v>
      </c>
      <c r="K40" s="134">
        <f t="shared" si="14"/>
        <v>0</v>
      </c>
      <c r="L40" s="134">
        <f t="shared" si="14"/>
        <v>0</v>
      </c>
      <c r="N40" s="57">
        <f>I40-P40</f>
        <v>243358.79928999997</v>
      </c>
      <c r="P40" s="39">
        <f t="shared" si="13"/>
        <v>22410.763649999997</v>
      </c>
    </row>
    <row r="41" spans="1:18" ht="30" x14ac:dyDescent="0.25">
      <c r="A41" s="452"/>
      <c r="B41" s="455"/>
      <c r="C41" s="516"/>
      <c r="D41" s="143" t="s">
        <v>94</v>
      </c>
      <c r="E41" s="134">
        <f t="shared" si="2"/>
        <v>0</v>
      </c>
      <c r="F41" s="155">
        <f t="shared" si="14"/>
        <v>0</v>
      </c>
      <c r="G41" s="134">
        <f>G48+G55</f>
        <v>0</v>
      </c>
      <c r="H41" s="134">
        <f t="shared" si="14"/>
        <v>0</v>
      </c>
      <c r="I41" s="156">
        <f t="shared" si="14"/>
        <v>0</v>
      </c>
      <c r="J41" s="134">
        <f t="shared" si="14"/>
        <v>0</v>
      </c>
      <c r="K41" s="134">
        <f t="shared" si="14"/>
        <v>0</v>
      </c>
      <c r="L41" s="134">
        <f t="shared" si="14"/>
        <v>0</v>
      </c>
      <c r="N41" s="57">
        <f t="shared" si="9"/>
        <v>0</v>
      </c>
      <c r="P41" s="39">
        <f t="shared" si="13"/>
        <v>0</v>
      </c>
    </row>
    <row r="42" spans="1:18" x14ac:dyDescent="0.25">
      <c r="A42" s="452"/>
      <c r="B42" s="455"/>
      <c r="C42" s="516"/>
      <c r="D42" s="143" t="s">
        <v>93</v>
      </c>
      <c r="E42" s="134">
        <f t="shared" si="2"/>
        <v>0</v>
      </c>
      <c r="F42" s="155">
        <f t="shared" si="14"/>
        <v>0</v>
      </c>
      <c r="G42" s="134">
        <f t="shared" si="14"/>
        <v>0</v>
      </c>
      <c r="H42" s="134">
        <f t="shared" si="14"/>
        <v>0</v>
      </c>
      <c r="I42" s="156">
        <f t="shared" si="14"/>
        <v>0</v>
      </c>
      <c r="J42" s="134">
        <f t="shared" si="14"/>
        <v>0</v>
      </c>
      <c r="K42" s="134">
        <f t="shared" si="14"/>
        <v>0</v>
      </c>
      <c r="L42" s="134">
        <f t="shared" si="14"/>
        <v>0</v>
      </c>
      <c r="N42" s="57">
        <f t="shared" si="9"/>
        <v>0</v>
      </c>
      <c r="P42" s="39">
        <f t="shared" si="13"/>
        <v>0</v>
      </c>
    </row>
    <row r="43" spans="1:18" s="146" customFormat="1" x14ac:dyDescent="0.25">
      <c r="A43" s="452"/>
      <c r="B43" s="455"/>
      <c r="C43" s="517"/>
      <c r="D43" s="133" t="s">
        <v>18</v>
      </c>
      <c r="E43" s="134">
        <f t="shared" si="2"/>
        <v>422395.05299999996</v>
      </c>
      <c r="F43" s="155">
        <f t="shared" si="14"/>
        <v>0</v>
      </c>
      <c r="G43" s="134">
        <f t="shared" si="14"/>
        <v>0</v>
      </c>
      <c r="H43" s="134">
        <f t="shared" si="14"/>
        <v>0</v>
      </c>
      <c r="I43" s="156">
        <f t="shared" si="14"/>
        <v>207548.37</v>
      </c>
      <c r="J43" s="134">
        <f t="shared" si="14"/>
        <v>171209.68299999999</v>
      </c>
      <c r="K43" s="134">
        <f t="shared" si="14"/>
        <v>3137</v>
      </c>
      <c r="L43" s="134">
        <f t="shared" si="14"/>
        <v>40500</v>
      </c>
      <c r="N43" s="153">
        <f t="shared" si="9"/>
        <v>-278134.66596000001</v>
      </c>
      <c r="P43" s="129">
        <f t="shared" si="13"/>
        <v>485683.03596000001</v>
      </c>
      <c r="R43" s="154"/>
    </row>
    <row r="44" spans="1:18" s="40" customFormat="1" x14ac:dyDescent="0.25">
      <c r="A44" s="452"/>
      <c r="B44" s="455"/>
      <c r="C44" s="460" t="s">
        <v>8</v>
      </c>
      <c r="D44" s="125" t="s">
        <v>12</v>
      </c>
      <c r="E44" s="39">
        <f>SUM(F44:L44)</f>
        <v>100920.54131999999</v>
      </c>
      <c r="F44" s="87">
        <f>SUM(F45:F50)</f>
        <v>14147.688</v>
      </c>
      <c r="G44" s="39">
        <f t="shared" ref="G44:H44" si="15">SUM(G45:G50)</f>
        <v>9544.8861399999987</v>
      </c>
      <c r="H44" s="39">
        <f t="shared" si="15"/>
        <v>3050.3681900000001</v>
      </c>
      <c r="I44" s="149">
        <f>SUM(I45:I50)</f>
        <v>12656.005990000001</v>
      </c>
      <c r="J44" s="39">
        <f t="shared" ref="J44:L44" si="16">SUM(J45:J50)</f>
        <v>17884.593000000001</v>
      </c>
      <c r="K44" s="39">
        <f t="shared" si="16"/>
        <v>3137</v>
      </c>
      <c r="L44" s="39">
        <f t="shared" si="16"/>
        <v>40500</v>
      </c>
      <c r="N44" s="57">
        <f t="shared" si="9"/>
        <v>-12522.739009999998</v>
      </c>
      <c r="P44" s="39">
        <f>SUM(P45:P50)</f>
        <v>25178.744999999999</v>
      </c>
      <c r="R44" s="107"/>
    </row>
    <row r="45" spans="1:18" x14ac:dyDescent="0.25">
      <c r="A45" s="452"/>
      <c r="B45" s="455"/>
      <c r="C45" s="460"/>
      <c r="D45" s="125" t="s">
        <v>13</v>
      </c>
      <c r="E45" s="39">
        <f t="shared" si="2"/>
        <v>0</v>
      </c>
      <c r="F45" s="87">
        <v>0</v>
      </c>
      <c r="G45" s="39">
        <v>0</v>
      </c>
      <c r="H45" s="39">
        <v>0</v>
      </c>
      <c r="I45" s="149">
        <v>0</v>
      </c>
      <c r="J45" s="39">
        <v>0</v>
      </c>
      <c r="K45" s="39">
        <v>0</v>
      </c>
      <c r="L45" s="39">
        <v>0</v>
      </c>
      <c r="N45" s="57">
        <f t="shared" si="9"/>
        <v>0</v>
      </c>
      <c r="P45" s="39">
        <v>0</v>
      </c>
    </row>
    <row r="46" spans="1:18" x14ac:dyDescent="0.25">
      <c r="A46" s="452"/>
      <c r="B46" s="455"/>
      <c r="C46" s="460"/>
      <c r="D46" s="125" t="s">
        <v>14</v>
      </c>
      <c r="E46" s="39">
        <f t="shared" si="2"/>
        <v>11494.5</v>
      </c>
      <c r="F46" s="87">
        <f>4070+750+824.5</f>
        <v>5644.5</v>
      </c>
      <c r="G46" s="39">
        <f>4100+100</f>
        <v>4200</v>
      </c>
      <c r="H46" s="39">
        <f>200</f>
        <v>200</v>
      </c>
      <c r="I46" s="157">
        <v>1450</v>
      </c>
      <c r="J46" s="39">
        <v>0</v>
      </c>
      <c r="K46" s="39">
        <v>0</v>
      </c>
      <c r="L46" s="39">
        <v>0</v>
      </c>
      <c r="N46" s="57">
        <f t="shared" si="9"/>
        <v>1450</v>
      </c>
      <c r="O46" s="32" t="s">
        <v>246</v>
      </c>
      <c r="P46" s="39">
        <v>0</v>
      </c>
      <c r="Q46" s="32" t="s">
        <v>245</v>
      </c>
    </row>
    <row r="47" spans="1:18" x14ac:dyDescent="0.25">
      <c r="A47" s="452"/>
      <c r="B47" s="455"/>
      <c r="C47" s="460"/>
      <c r="D47" s="125" t="s">
        <v>15</v>
      </c>
      <c r="E47" s="39">
        <f t="shared" si="2"/>
        <v>18506.078320000001</v>
      </c>
      <c r="F47" s="87">
        <v>8503.1880000000001</v>
      </c>
      <c r="G47" s="39">
        <v>5344.8861399999996</v>
      </c>
      <c r="H47" s="39">
        <f>1150.36819+1700</f>
        <v>2850.3681900000001</v>
      </c>
      <c r="I47" s="149">
        <f>1770.26099-162.625</f>
        <v>1607.63599</v>
      </c>
      <c r="J47" s="39">
        <v>200</v>
      </c>
      <c r="K47" s="39">
        <v>0</v>
      </c>
      <c r="L47" s="39">
        <v>0</v>
      </c>
      <c r="N47" s="57">
        <f t="shared" si="9"/>
        <v>0</v>
      </c>
      <c r="O47" s="32" t="s">
        <v>247</v>
      </c>
      <c r="P47" s="39">
        <f>1770.26099-162.625</f>
        <v>1607.63599</v>
      </c>
    </row>
    <row r="48" spans="1:18" ht="30" x14ac:dyDescent="0.25">
      <c r="A48" s="452"/>
      <c r="B48" s="455"/>
      <c r="C48" s="460"/>
      <c r="D48" s="124" t="s">
        <v>94</v>
      </c>
      <c r="E48" s="39">
        <f t="shared" si="2"/>
        <v>0</v>
      </c>
      <c r="F48" s="87">
        <v>0</v>
      </c>
      <c r="G48" s="39">
        <v>0</v>
      </c>
      <c r="H48" s="39">
        <v>0</v>
      </c>
      <c r="I48" s="149">
        <v>0</v>
      </c>
      <c r="J48" s="39">
        <v>0</v>
      </c>
      <c r="K48" s="39">
        <v>0</v>
      </c>
      <c r="L48" s="39">
        <v>0</v>
      </c>
      <c r="N48" s="57">
        <f t="shared" si="9"/>
        <v>0</v>
      </c>
      <c r="P48" s="39">
        <v>0</v>
      </c>
    </row>
    <row r="49" spans="1:18" x14ac:dyDescent="0.25">
      <c r="A49" s="452"/>
      <c r="B49" s="455"/>
      <c r="C49" s="460"/>
      <c r="D49" s="124" t="s">
        <v>93</v>
      </c>
      <c r="E49" s="39">
        <f t="shared" si="2"/>
        <v>0</v>
      </c>
      <c r="F49" s="87">
        <v>0</v>
      </c>
      <c r="G49" s="39">
        <v>0</v>
      </c>
      <c r="H49" s="39">
        <v>0</v>
      </c>
      <c r="I49" s="158">
        <v>0</v>
      </c>
      <c r="J49" s="39">
        <v>0</v>
      </c>
      <c r="K49" s="39">
        <v>0</v>
      </c>
      <c r="L49" s="29">
        <v>0</v>
      </c>
      <c r="N49" s="57">
        <f t="shared" si="9"/>
        <v>0</v>
      </c>
      <c r="P49" s="46">
        <v>0</v>
      </c>
    </row>
    <row r="50" spans="1:18" x14ac:dyDescent="0.25">
      <c r="A50" s="452"/>
      <c r="B50" s="455"/>
      <c r="C50" s="460"/>
      <c r="D50" s="125" t="s">
        <v>18</v>
      </c>
      <c r="E50" s="39">
        <f t="shared" si="2"/>
        <v>70919.963000000003</v>
      </c>
      <c r="F50" s="87">
        <v>0</v>
      </c>
      <c r="G50" s="39">
        <v>0</v>
      </c>
      <c r="H50" s="39">
        <v>0</v>
      </c>
      <c r="I50" s="159">
        <f>23571.10901-13972.73901</f>
        <v>9598.3700000000008</v>
      </c>
      <c r="J50" s="42">
        <v>17684.593000000001</v>
      </c>
      <c r="K50" s="43">
        <v>3137</v>
      </c>
      <c r="L50" s="29">
        <v>40500</v>
      </c>
      <c r="N50" s="57">
        <f t="shared" si="9"/>
        <v>-13972.739009999999</v>
      </c>
      <c r="O50" s="32" t="s">
        <v>289</v>
      </c>
      <c r="P50" s="160">
        <f>25031.37-1460.26099</f>
        <v>23571.10901</v>
      </c>
      <c r="R50" s="160">
        <f>25031.37-1460.26099</f>
        <v>23571.10901</v>
      </c>
    </row>
    <row r="51" spans="1:18" s="40" customFormat="1" x14ac:dyDescent="0.25">
      <c r="A51" s="452"/>
      <c r="B51" s="455"/>
      <c r="C51" s="460" t="s">
        <v>185</v>
      </c>
      <c r="D51" s="125" t="s">
        <v>12</v>
      </c>
      <c r="E51" s="39">
        <f t="shared" si="2"/>
        <v>1409305.7978000001</v>
      </c>
      <c r="F51" s="87">
        <f t="shared" ref="F51:H51" si="17">SUM(F52:F57)</f>
        <v>265344.92694999999</v>
      </c>
      <c r="G51" s="39">
        <f t="shared" si="17"/>
        <v>264161.92694999999</v>
      </c>
      <c r="H51" s="39">
        <f t="shared" si="17"/>
        <v>264161.92694999999</v>
      </c>
      <c r="I51" s="161">
        <f>SUM(I52:I57)</f>
        <v>462111.92694999999</v>
      </c>
      <c r="J51" s="45">
        <f t="shared" ref="J51:L51" si="18">SUM(J52:J57)</f>
        <v>153525.09</v>
      </c>
      <c r="K51" s="45">
        <f t="shared" si="18"/>
        <v>0</v>
      </c>
      <c r="L51" s="39">
        <f t="shared" si="18"/>
        <v>0</v>
      </c>
      <c r="N51" s="57">
        <f t="shared" si="9"/>
        <v>-20803.127659999998</v>
      </c>
      <c r="P51" s="45">
        <f>SUM(P52:P57)</f>
        <v>482915.05460999999</v>
      </c>
      <c r="R51" s="107"/>
    </row>
    <row r="52" spans="1:18" x14ac:dyDescent="0.25">
      <c r="A52" s="452"/>
      <c r="B52" s="455"/>
      <c r="C52" s="460"/>
      <c r="D52" s="125" t="s">
        <v>13</v>
      </c>
      <c r="E52" s="39">
        <f t="shared" si="2"/>
        <v>0</v>
      </c>
      <c r="F52" s="87">
        <v>0</v>
      </c>
      <c r="G52" s="39">
        <v>0</v>
      </c>
      <c r="H52" s="39">
        <v>0</v>
      </c>
      <c r="I52" s="149">
        <v>0</v>
      </c>
      <c r="J52" s="39">
        <v>0</v>
      </c>
      <c r="K52" s="39">
        <v>0</v>
      </c>
      <c r="L52" s="39">
        <v>0</v>
      </c>
      <c r="N52" s="57">
        <f t="shared" si="9"/>
        <v>0</v>
      </c>
      <c r="P52" s="39">
        <v>0</v>
      </c>
    </row>
    <row r="53" spans="1:18" x14ac:dyDescent="0.25">
      <c r="A53" s="452"/>
      <c r="B53" s="455"/>
      <c r="C53" s="460"/>
      <c r="D53" s="125" t="s">
        <v>14</v>
      </c>
      <c r="E53" s="39">
        <f t="shared" si="2"/>
        <v>0</v>
      </c>
      <c r="F53" s="87">
        <v>0</v>
      </c>
      <c r="G53" s="39">
        <v>0</v>
      </c>
      <c r="H53" s="39">
        <v>0</v>
      </c>
      <c r="I53" s="151">
        <v>0</v>
      </c>
      <c r="J53" s="38">
        <v>0</v>
      </c>
      <c r="K53" s="38">
        <v>0</v>
      </c>
      <c r="L53" s="38">
        <v>0</v>
      </c>
      <c r="N53" s="57">
        <f t="shared" si="9"/>
        <v>0</v>
      </c>
      <c r="P53" s="38">
        <v>0</v>
      </c>
    </row>
    <row r="54" spans="1:18" x14ac:dyDescent="0.25">
      <c r="A54" s="452"/>
      <c r="B54" s="455"/>
      <c r="C54" s="460"/>
      <c r="D54" s="125" t="s">
        <v>145</v>
      </c>
      <c r="E54" s="39">
        <f t="shared" si="2"/>
        <v>1057830.7078</v>
      </c>
      <c r="F54" s="87">
        <f>284161.92695-18817</f>
        <v>265344.92694999999</v>
      </c>
      <c r="G54" s="39">
        <v>264161.92694999999</v>
      </c>
      <c r="H54" s="39">
        <f>264161.92695</f>
        <v>264161.92694999999</v>
      </c>
      <c r="I54" s="157">
        <f>12050+8753.12766-12050-8753.12766+264161.92695</f>
        <v>264161.92694999999</v>
      </c>
      <c r="J54" s="38">
        <v>0</v>
      </c>
      <c r="K54" s="38">
        <v>0</v>
      </c>
      <c r="L54" s="38">
        <v>0</v>
      </c>
      <c r="N54" s="57">
        <f t="shared" si="9"/>
        <v>243358.79929</v>
      </c>
      <c r="P54" s="39">
        <f>12050+8753.12766</f>
        <v>20803.127659999998</v>
      </c>
      <c r="Q54" s="32" t="s">
        <v>248</v>
      </c>
    </row>
    <row r="55" spans="1:18" ht="30" x14ac:dyDescent="0.25">
      <c r="A55" s="452"/>
      <c r="B55" s="455"/>
      <c r="C55" s="460"/>
      <c r="D55" s="124" t="s">
        <v>94</v>
      </c>
      <c r="E55" s="39">
        <f t="shared" si="2"/>
        <v>0</v>
      </c>
      <c r="F55" s="87">
        <v>0</v>
      </c>
      <c r="G55" s="39">
        <v>0</v>
      </c>
      <c r="H55" s="39">
        <v>0</v>
      </c>
      <c r="I55" s="151">
        <v>0</v>
      </c>
      <c r="J55" s="38">
        <v>0</v>
      </c>
      <c r="K55" s="38">
        <v>0</v>
      </c>
      <c r="L55" s="38">
        <v>0</v>
      </c>
      <c r="N55" s="57">
        <f t="shared" si="9"/>
        <v>0</v>
      </c>
      <c r="P55" s="38">
        <v>0</v>
      </c>
    </row>
    <row r="56" spans="1:18" x14ac:dyDescent="0.25">
      <c r="A56" s="452"/>
      <c r="B56" s="455"/>
      <c r="C56" s="460"/>
      <c r="D56" s="124" t="s">
        <v>93</v>
      </c>
      <c r="E56" s="39">
        <f t="shared" si="2"/>
        <v>0</v>
      </c>
      <c r="F56" s="87">
        <v>0</v>
      </c>
      <c r="G56" s="39">
        <v>0</v>
      </c>
      <c r="H56" s="39">
        <v>0</v>
      </c>
      <c r="I56" s="151">
        <v>0</v>
      </c>
      <c r="J56" s="38">
        <v>0</v>
      </c>
      <c r="K56" s="144"/>
      <c r="L56" s="38">
        <v>0</v>
      </c>
      <c r="N56" s="57">
        <f t="shared" si="9"/>
        <v>0</v>
      </c>
      <c r="P56" s="38">
        <v>0</v>
      </c>
    </row>
    <row r="57" spans="1:18" s="146" customFormat="1" x14ac:dyDescent="0.25">
      <c r="A57" s="453"/>
      <c r="B57" s="456"/>
      <c r="C57" s="460"/>
      <c r="D57" s="128" t="s">
        <v>18</v>
      </c>
      <c r="E57" s="129">
        <f t="shared" si="2"/>
        <v>351475.08999999997</v>
      </c>
      <c r="F57" s="162">
        <v>0</v>
      </c>
      <c r="G57" s="129">
        <v>0</v>
      </c>
      <c r="H57" s="130">
        <v>0</v>
      </c>
      <c r="I57" s="163">
        <f>264161.92695+197950-264161.92695</f>
        <v>197950</v>
      </c>
      <c r="J57" s="129">
        <v>153525.09</v>
      </c>
      <c r="K57" s="129">
        <v>0</v>
      </c>
      <c r="L57" s="129">
        <v>0</v>
      </c>
      <c r="N57" s="153">
        <f t="shared" si="9"/>
        <v>-264161.92694999999</v>
      </c>
      <c r="O57" s="146" t="s">
        <v>288</v>
      </c>
      <c r="P57" s="129">
        <f>264161.92695+197950</f>
        <v>462111.92694999999</v>
      </c>
      <c r="R57" s="154"/>
    </row>
    <row r="58" spans="1:18" x14ac:dyDescent="0.25">
      <c r="A58" s="445" t="s">
        <v>133</v>
      </c>
      <c r="B58" s="446" t="s">
        <v>193</v>
      </c>
      <c r="C58" s="448" t="s">
        <v>135</v>
      </c>
      <c r="D58" s="125" t="s">
        <v>12</v>
      </c>
      <c r="E58" s="39">
        <f t="shared" ref="E58:E64" si="19">SUM(F58:L58)</f>
        <v>2606.6852699999999</v>
      </c>
      <c r="F58" s="87">
        <f t="shared" ref="F58:H58" si="20">SUM(F59:F64)</f>
        <v>1167.1500000000001</v>
      </c>
      <c r="G58" s="39">
        <f t="shared" si="20"/>
        <v>485.97599999999994</v>
      </c>
      <c r="H58" s="39">
        <f t="shared" si="20"/>
        <v>953.55926999999997</v>
      </c>
      <c r="I58" s="149">
        <f>SUM(I59:I64)</f>
        <v>0</v>
      </c>
      <c r="J58" s="39">
        <f t="shared" ref="J58:L58" si="21">SUM(J59:J64)</f>
        <v>0</v>
      </c>
      <c r="K58" s="39">
        <f t="shared" si="21"/>
        <v>0</v>
      </c>
      <c r="L58" s="39">
        <f t="shared" si="21"/>
        <v>0</v>
      </c>
      <c r="N58" s="57">
        <f t="shared" si="9"/>
        <v>0</v>
      </c>
      <c r="P58" s="39">
        <f>SUM(P59:P64)</f>
        <v>0</v>
      </c>
    </row>
    <row r="59" spans="1:18" x14ac:dyDescent="0.25">
      <c r="A59" s="445"/>
      <c r="B59" s="446"/>
      <c r="C59" s="449"/>
      <c r="D59" s="125" t="s">
        <v>13</v>
      </c>
      <c r="E59" s="39">
        <f t="shared" si="19"/>
        <v>0</v>
      </c>
      <c r="F59" s="87">
        <v>0</v>
      </c>
      <c r="G59" s="39">
        <v>0</v>
      </c>
      <c r="H59" s="39">
        <v>0</v>
      </c>
      <c r="I59" s="149">
        <v>0</v>
      </c>
      <c r="J59" s="39">
        <v>0</v>
      </c>
      <c r="K59" s="39">
        <v>0</v>
      </c>
      <c r="L59" s="39">
        <v>0</v>
      </c>
      <c r="N59" s="57">
        <f t="shared" si="9"/>
        <v>0</v>
      </c>
      <c r="P59" s="39">
        <v>0</v>
      </c>
    </row>
    <row r="60" spans="1:18" x14ac:dyDescent="0.25">
      <c r="A60" s="445"/>
      <c r="B60" s="446"/>
      <c r="C60" s="449"/>
      <c r="D60" s="125" t="s">
        <v>14</v>
      </c>
      <c r="E60" s="46">
        <f t="shared" si="19"/>
        <v>0</v>
      </c>
      <c r="F60" s="87">
        <f>4668.6-4668.6</f>
        <v>0</v>
      </c>
      <c r="G60" s="39"/>
      <c r="H60" s="39"/>
      <c r="I60" s="149">
        <v>0</v>
      </c>
      <c r="J60" s="39"/>
      <c r="K60" s="39">
        <v>0</v>
      </c>
      <c r="L60" s="39">
        <v>0</v>
      </c>
      <c r="N60" s="57">
        <f t="shared" si="9"/>
        <v>0</v>
      </c>
      <c r="P60" s="39">
        <v>0</v>
      </c>
    </row>
    <row r="61" spans="1:18" x14ac:dyDescent="0.25">
      <c r="A61" s="445"/>
      <c r="B61" s="446"/>
      <c r="C61" s="449"/>
      <c r="D61" s="125" t="s">
        <v>15</v>
      </c>
      <c r="E61" s="46">
        <f t="shared" si="19"/>
        <v>2606.6852699999999</v>
      </c>
      <c r="F61" s="88">
        <f>1167.15</f>
        <v>1167.1500000000001</v>
      </c>
      <c r="G61" s="28">
        <f>828.43-342.454</f>
        <v>485.97599999999994</v>
      </c>
      <c r="H61" s="28">
        <f>603.55927+350</f>
        <v>953.55926999999997</v>
      </c>
      <c r="I61" s="164">
        <v>0</v>
      </c>
      <c r="J61" s="39"/>
      <c r="K61" s="39">
        <v>0</v>
      </c>
      <c r="L61" s="39">
        <v>0</v>
      </c>
      <c r="N61" s="57">
        <f t="shared" si="9"/>
        <v>0</v>
      </c>
      <c r="P61" s="29">
        <v>0</v>
      </c>
    </row>
    <row r="62" spans="1:18" ht="30" x14ac:dyDescent="0.25">
      <c r="A62" s="445"/>
      <c r="B62" s="446"/>
      <c r="C62" s="449"/>
      <c r="D62" s="124" t="s">
        <v>94</v>
      </c>
      <c r="E62" s="46">
        <f t="shared" si="19"/>
        <v>0</v>
      </c>
      <c r="F62" s="89">
        <v>0</v>
      </c>
      <c r="G62" s="45">
        <v>0</v>
      </c>
      <c r="H62" s="45">
        <v>0</v>
      </c>
      <c r="I62" s="149">
        <v>0</v>
      </c>
      <c r="J62" s="39">
        <v>0</v>
      </c>
      <c r="K62" s="39">
        <v>0</v>
      </c>
      <c r="L62" s="39">
        <v>0</v>
      </c>
      <c r="N62" s="57">
        <f t="shared" si="9"/>
        <v>0</v>
      </c>
      <c r="P62" s="39">
        <v>0</v>
      </c>
    </row>
    <row r="63" spans="1:18" x14ac:dyDescent="0.25">
      <c r="A63" s="445"/>
      <c r="B63" s="446"/>
      <c r="C63" s="449"/>
      <c r="D63" s="124" t="s">
        <v>93</v>
      </c>
      <c r="E63" s="39">
        <f t="shared" si="19"/>
        <v>0</v>
      </c>
      <c r="F63" s="87">
        <v>0</v>
      </c>
      <c r="G63" s="39">
        <v>0</v>
      </c>
      <c r="H63" s="39">
        <v>0</v>
      </c>
      <c r="I63" s="149">
        <v>0</v>
      </c>
      <c r="J63" s="39">
        <v>0</v>
      </c>
      <c r="K63" s="39">
        <v>0</v>
      </c>
      <c r="L63" s="39">
        <v>0</v>
      </c>
      <c r="N63" s="57">
        <f t="shared" si="9"/>
        <v>0</v>
      </c>
      <c r="P63" s="39">
        <v>0</v>
      </c>
    </row>
    <row r="64" spans="1:18" s="146" customFormat="1" x14ac:dyDescent="0.25">
      <c r="A64" s="445"/>
      <c r="B64" s="446"/>
      <c r="C64" s="450"/>
      <c r="D64" s="128" t="s">
        <v>18</v>
      </c>
      <c r="E64" s="129">
        <f t="shared" si="19"/>
        <v>0</v>
      </c>
      <c r="F64" s="162">
        <v>0</v>
      </c>
      <c r="G64" s="129">
        <v>0</v>
      </c>
      <c r="H64" s="129">
        <v>0</v>
      </c>
      <c r="I64" s="152">
        <v>0</v>
      </c>
      <c r="J64" s="129">
        <v>0</v>
      </c>
      <c r="K64" s="129">
        <v>0</v>
      </c>
      <c r="L64" s="129">
        <v>0</v>
      </c>
      <c r="N64" s="153">
        <f t="shared" si="9"/>
        <v>0</v>
      </c>
      <c r="P64" s="129">
        <v>0</v>
      </c>
      <c r="R64" s="154"/>
    </row>
    <row r="65" spans="1:18" x14ac:dyDescent="0.25">
      <c r="A65" s="445" t="s">
        <v>210</v>
      </c>
      <c r="B65" s="446" t="s">
        <v>203</v>
      </c>
      <c r="C65" s="447" t="s">
        <v>204</v>
      </c>
      <c r="D65" s="125" t="s">
        <v>12</v>
      </c>
      <c r="E65" s="39">
        <f>SUM(F65:L65)</f>
        <v>14220.125</v>
      </c>
      <c r="F65" s="39">
        <f t="shared" ref="F65:H65" si="22">SUM(F66:F71)</f>
        <v>0</v>
      </c>
      <c r="G65" s="39">
        <f t="shared" si="22"/>
        <v>0</v>
      </c>
      <c r="H65" s="39">
        <f t="shared" si="22"/>
        <v>0</v>
      </c>
      <c r="I65" s="149">
        <f>SUM(I66:I71)</f>
        <v>5000</v>
      </c>
      <c r="J65" s="39">
        <f t="shared" ref="J65:L65" si="23">SUM(J66:J71)</f>
        <v>9220.125</v>
      </c>
      <c r="K65" s="38">
        <f t="shared" si="23"/>
        <v>0</v>
      </c>
      <c r="L65" s="38">
        <f t="shared" si="23"/>
        <v>0</v>
      </c>
      <c r="N65" s="57">
        <f t="shared" si="9"/>
        <v>0</v>
      </c>
      <c r="P65" s="39">
        <f>SUM(P66:P71)</f>
        <v>5000</v>
      </c>
    </row>
    <row r="66" spans="1:18" x14ac:dyDescent="0.25">
      <c r="A66" s="445"/>
      <c r="B66" s="446"/>
      <c r="C66" s="447"/>
      <c r="D66" s="125" t="s">
        <v>13</v>
      </c>
      <c r="E66" s="39">
        <f t="shared" ref="E66:E71" si="24">SUM(F66:L66)</f>
        <v>8120</v>
      </c>
      <c r="F66" s="39">
        <v>0</v>
      </c>
      <c r="G66" s="39">
        <v>0</v>
      </c>
      <c r="H66" s="39">
        <v>0</v>
      </c>
      <c r="I66" s="149">
        <v>5000</v>
      </c>
      <c r="J66" s="44">
        <v>3120</v>
      </c>
      <c r="K66" s="38">
        <v>0</v>
      </c>
      <c r="L66" s="38">
        <v>0</v>
      </c>
      <c r="N66" s="57">
        <f t="shared" si="9"/>
        <v>0</v>
      </c>
      <c r="P66" s="39">
        <v>5000</v>
      </c>
    </row>
    <row r="67" spans="1:18" x14ac:dyDescent="0.25">
      <c r="A67" s="445"/>
      <c r="B67" s="446"/>
      <c r="C67" s="447"/>
      <c r="D67" s="125" t="s">
        <v>14</v>
      </c>
      <c r="E67" s="39">
        <f t="shared" si="24"/>
        <v>4880.1000000000004</v>
      </c>
      <c r="F67" s="39">
        <v>0</v>
      </c>
      <c r="G67" s="39">
        <v>0</v>
      </c>
      <c r="H67" s="39">
        <v>0</v>
      </c>
      <c r="I67" s="149">
        <v>0</v>
      </c>
      <c r="J67" s="39">
        <v>4880.1000000000004</v>
      </c>
      <c r="K67" s="39">
        <v>0</v>
      </c>
      <c r="L67" s="39">
        <v>0</v>
      </c>
      <c r="N67" s="57">
        <f t="shared" si="9"/>
        <v>0</v>
      </c>
      <c r="P67" s="39">
        <v>0</v>
      </c>
    </row>
    <row r="68" spans="1:18" x14ac:dyDescent="0.25">
      <c r="A68" s="445"/>
      <c r="B68" s="446"/>
      <c r="C68" s="447"/>
      <c r="D68" s="125" t="s">
        <v>15</v>
      </c>
      <c r="E68" s="39">
        <f t="shared" si="24"/>
        <v>1220.0250000000001</v>
      </c>
      <c r="F68" s="39">
        <v>0</v>
      </c>
      <c r="G68" s="39">
        <v>0</v>
      </c>
      <c r="H68" s="39">
        <v>0</v>
      </c>
      <c r="I68" s="149">
        <v>0</v>
      </c>
      <c r="J68" s="39">
        <v>1220.0250000000001</v>
      </c>
      <c r="K68" s="39">
        <v>0</v>
      </c>
      <c r="L68" s="39">
        <v>0</v>
      </c>
      <c r="N68" s="57">
        <f t="shared" si="9"/>
        <v>0</v>
      </c>
      <c r="P68" s="39">
        <v>0</v>
      </c>
    </row>
    <row r="69" spans="1:18" ht="30" x14ac:dyDescent="0.25">
      <c r="A69" s="445"/>
      <c r="B69" s="446"/>
      <c r="C69" s="447"/>
      <c r="D69" s="124" t="s">
        <v>92</v>
      </c>
      <c r="E69" s="39">
        <f t="shared" si="24"/>
        <v>0</v>
      </c>
      <c r="F69" s="39">
        <v>0</v>
      </c>
      <c r="G69" s="39">
        <v>0</v>
      </c>
      <c r="H69" s="39">
        <v>0</v>
      </c>
      <c r="I69" s="149">
        <v>0</v>
      </c>
      <c r="J69" s="39">
        <v>0</v>
      </c>
      <c r="K69" s="39">
        <v>0</v>
      </c>
      <c r="L69" s="39">
        <v>0</v>
      </c>
      <c r="N69" s="57">
        <f t="shared" si="9"/>
        <v>0</v>
      </c>
      <c r="P69" s="39">
        <v>0</v>
      </c>
    </row>
    <row r="70" spans="1:18" x14ac:dyDescent="0.25">
      <c r="A70" s="445"/>
      <c r="B70" s="446"/>
      <c r="C70" s="447"/>
      <c r="D70" s="124" t="s">
        <v>93</v>
      </c>
      <c r="E70" s="39">
        <f t="shared" si="24"/>
        <v>0</v>
      </c>
      <c r="F70" s="39">
        <v>0</v>
      </c>
      <c r="G70" s="39">
        <v>0</v>
      </c>
      <c r="H70" s="39">
        <v>0</v>
      </c>
      <c r="I70" s="149">
        <v>0</v>
      </c>
      <c r="J70" s="39">
        <v>0</v>
      </c>
      <c r="K70" s="39">
        <v>0</v>
      </c>
      <c r="L70" s="39">
        <v>0</v>
      </c>
      <c r="N70" s="57">
        <f t="shared" si="9"/>
        <v>0</v>
      </c>
      <c r="P70" s="39">
        <v>0</v>
      </c>
    </row>
    <row r="71" spans="1:18" s="146" customFormat="1" x14ac:dyDescent="0.25">
      <c r="A71" s="445"/>
      <c r="B71" s="446"/>
      <c r="C71" s="447"/>
      <c r="D71" s="128" t="s">
        <v>18</v>
      </c>
      <c r="E71" s="129">
        <f t="shared" si="24"/>
        <v>0</v>
      </c>
      <c r="F71" s="129">
        <v>0</v>
      </c>
      <c r="G71" s="129">
        <v>0</v>
      </c>
      <c r="H71" s="129">
        <v>0</v>
      </c>
      <c r="I71" s="152">
        <v>0</v>
      </c>
      <c r="J71" s="129">
        <v>0</v>
      </c>
      <c r="K71" s="129">
        <v>0</v>
      </c>
      <c r="L71" s="129">
        <v>0</v>
      </c>
      <c r="N71" s="153">
        <f t="shared" si="9"/>
        <v>0</v>
      </c>
      <c r="P71" s="129">
        <v>0</v>
      </c>
      <c r="R71" s="154"/>
    </row>
    <row r="72" spans="1:18" s="165" customFormat="1" x14ac:dyDescent="0.25">
      <c r="A72" s="518" t="s">
        <v>95</v>
      </c>
      <c r="B72" s="519"/>
      <c r="C72" s="520"/>
      <c r="D72" s="128" t="s">
        <v>12</v>
      </c>
      <c r="E72" s="129">
        <f>SUM(F72:L72)</f>
        <v>1527053.1493900002</v>
      </c>
      <c r="F72" s="162">
        <f t="shared" ref="F72:H72" si="25">SUM(F73:F78)</f>
        <v>280659.76495000004</v>
      </c>
      <c r="G72" s="129">
        <f t="shared" si="25"/>
        <v>274192.78909000003</v>
      </c>
      <c r="H72" s="129">
        <f t="shared" si="25"/>
        <v>268165.85441000003</v>
      </c>
      <c r="I72" s="152">
        <f>SUM(I73:I78)</f>
        <v>479767.93293999997</v>
      </c>
      <c r="J72" s="129">
        <f t="shared" ref="J72:L72" si="26">SUM(J73:J78)</f>
        <v>180629.80799999999</v>
      </c>
      <c r="K72" s="129">
        <f t="shared" si="26"/>
        <v>3137</v>
      </c>
      <c r="L72" s="129">
        <f t="shared" si="26"/>
        <v>40500</v>
      </c>
      <c r="N72" s="153">
        <f t="shared" si="9"/>
        <v>-33325.866670000018</v>
      </c>
      <c r="P72" s="129">
        <f>SUM(P73:P78)</f>
        <v>513093.79960999999</v>
      </c>
      <c r="R72" s="166"/>
    </row>
    <row r="73" spans="1:18" s="165" customFormat="1" x14ac:dyDescent="0.25">
      <c r="A73" s="521"/>
      <c r="B73" s="522"/>
      <c r="C73" s="523"/>
      <c r="D73" s="128" t="s">
        <v>13</v>
      </c>
      <c r="E73" s="129">
        <f t="shared" si="2"/>
        <v>8120</v>
      </c>
      <c r="F73" s="162">
        <f>F66+F17+F31+F38+F59+F24</f>
        <v>0</v>
      </c>
      <c r="G73" s="129">
        <f>G66+G17+G31+G38+G59+G24</f>
        <v>0</v>
      </c>
      <c r="H73" s="129">
        <f t="shared" ref="H73:L73" si="27">H66+H17+H31+H38+H59+H24</f>
        <v>0</v>
      </c>
      <c r="I73" s="152">
        <f t="shared" si="27"/>
        <v>5000</v>
      </c>
      <c r="J73" s="129">
        <f t="shared" si="27"/>
        <v>3120</v>
      </c>
      <c r="K73" s="129">
        <f t="shared" si="27"/>
        <v>0</v>
      </c>
      <c r="L73" s="129">
        <f t="shared" si="27"/>
        <v>0</v>
      </c>
      <c r="N73" s="153">
        <f t="shared" si="9"/>
        <v>0</v>
      </c>
      <c r="P73" s="129">
        <f t="shared" ref="P73:P78" si="28">P66+P17+P31+P38+P59+P24</f>
        <v>5000</v>
      </c>
      <c r="R73" s="166"/>
    </row>
    <row r="74" spans="1:18" s="165" customFormat="1" x14ac:dyDescent="0.25">
      <c r="A74" s="521"/>
      <c r="B74" s="522"/>
      <c r="C74" s="523"/>
      <c r="D74" s="128" t="s">
        <v>14</v>
      </c>
      <c r="E74" s="129">
        <f t="shared" si="2"/>
        <v>16374.6</v>
      </c>
      <c r="F74" s="162">
        <f>F11+F18+F32+F39+F60+F25</f>
        <v>5644.5</v>
      </c>
      <c r="G74" s="129">
        <f t="shared" ref="G74:L78" si="29">G67+G18+G32+G39+G60+G25</f>
        <v>4200</v>
      </c>
      <c r="H74" s="129">
        <f t="shared" si="29"/>
        <v>200</v>
      </c>
      <c r="I74" s="152">
        <f t="shared" si="29"/>
        <v>1450</v>
      </c>
      <c r="J74" s="129">
        <f t="shared" si="29"/>
        <v>4880.1000000000004</v>
      </c>
      <c r="K74" s="129">
        <f t="shared" si="29"/>
        <v>0</v>
      </c>
      <c r="L74" s="129">
        <f t="shared" si="29"/>
        <v>0</v>
      </c>
      <c r="N74" s="153">
        <f t="shared" si="9"/>
        <v>1450</v>
      </c>
      <c r="P74" s="129">
        <f t="shared" si="28"/>
        <v>0</v>
      </c>
      <c r="R74" s="166"/>
    </row>
    <row r="75" spans="1:18" s="165" customFormat="1" x14ac:dyDescent="0.25">
      <c r="A75" s="521"/>
      <c r="B75" s="522"/>
      <c r="C75" s="523"/>
      <c r="D75" s="128" t="s">
        <v>15</v>
      </c>
      <c r="E75" s="129">
        <f t="shared" si="2"/>
        <v>1080163.49639</v>
      </c>
      <c r="F75" s="162">
        <f>F12+F19+F33+F40+F61+F26</f>
        <v>275015.26495000004</v>
      </c>
      <c r="G75" s="129">
        <f t="shared" si="29"/>
        <v>269992.78909000003</v>
      </c>
      <c r="H75" s="129">
        <f t="shared" si="29"/>
        <v>267965.85441000003</v>
      </c>
      <c r="I75" s="152">
        <f t="shared" si="29"/>
        <v>265769.56293999997</v>
      </c>
      <c r="J75" s="129">
        <f t="shared" si="29"/>
        <v>1420.0250000000001</v>
      </c>
      <c r="K75" s="129">
        <f t="shared" si="29"/>
        <v>0</v>
      </c>
      <c r="L75" s="129">
        <f t="shared" si="29"/>
        <v>0</v>
      </c>
      <c r="N75" s="153">
        <f t="shared" si="9"/>
        <v>243358.79928999997</v>
      </c>
      <c r="P75" s="129">
        <f t="shared" si="28"/>
        <v>22410.763649999997</v>
      </c>
      <c r="R75" s="166"/>
    </row>
    <row r="76" spans="1:18" s="165" customFormat="1" ht="30" x14ac:dyDescent="0.25">
      <c r="A76" s="521"/>
      <c r="B76" s="522"/>
      <c r="C76" s="523"/>
      <c r="D76" s="132" t="s">
        <v>94</v>
      </c>
      <c r="E76" s="129">
        <f t="shared" si="2"/>
        <v>0</v>
      </c>
      <c r="F76" s="162">
        <f>F13+F20+F34+F41+F62+F27</f>
        <v>0</v>
      </c>
      <c r="G76" s="129">
        <f t="shared" si="29"/>
        <v>0</v>
      </c>
      <c r="H76" s="129">
        <f t="shared" si="29"/>
        <v>0</v>
      </c>
      <c r="I76" s="152">
        <f t="shared" si="29"/>
        <v>0</v>
      </c>
      <c r="J76" s="129">
        <f t="shared" si="29"/>
        <v>0</v>
      </c>
      <c r="K76" s="129">
        <f t="shared" si="29"/>
        <v>0</v>
      </c>
      <c r="L76" s="129">
        <f t="shared" si="29"/>
        <v>0</v>
      </c>
      <c r="N76" s="153">
        <f t="shared" si="9"/>
        <v>0</v>
      </c>
      <c r="P76" s="129">
        <f t="shared" si="28"/>
        <v>0</v>
      </c>
      <c r="R76" s="166"/>
    </row>
    <row r="77" spans="1:18" s="165" customFormat="1" x14ac:dyDescent="0.25">
      <c r="A77" s="521"/>
      <c r="B77" s="522"/>
      <c r="C77" s="523"/>
      <c r="D77" s="132" t="s">
        <v>93</v>
      </c>
      <c r="E77" s="129">
        <f t="shared" si="2"/>
        <v>0</v>
      </c>
      <c r="F77" s="162">
        <f>F14+F21+F35+F42+F63+F28</f>
        <v>0</v>
      </c>
      <c r="G77" s="129">
        <f t="shared" si="29"/>
        <v>0</v>
      </c>
      <c r="H77" s="129">
        <f t="shared" si="29"/>
        <v>0</v>
      </c>
      <c r="I77" s="152">
        <f t="shared" si="29"/>
        <v>0</v>
      </c>
      <c r="J77" s="129">
        <f t="shared" si="29"/>
        <v>0</v>
      </c>
      <c r="K77" s="129">
        <f t="shared" si="29"/>
        <v>0</v>
      </c>
      <c r="L77" s="129">
        <f t="shared" si="29"/>
        <v>0</v>
      </c>
      <c r="N77" s="153">
        <f t="shared" si="9"/>
        <v>0</v>
      </c>
      <c r="P77" s="129">
        <f t="shared" si="28"/>
        <v>0</v>
      </c>
      <c r="R77" s="166"/>
    </row>
    <row r="78" spans="1:18" s="167" customFormat="1" x14ac:dyDescent="0.25">
      <c r="A78" s="524"/>
      <c r="B78" s="525"/>
      <c r="C78" s="526"/>
      <c r="D78" s="133" t="s">
        <v>18</v>
      </c>
      <c r="E78" s="134">
        <f t="shared" si="2"/>
        <v>422395.05299999996</v>
      </c>
      <c r="F78" s="155">
        <f>F15+F22+F36+F43+F64+F29</f>
        <v>0</v>
      </c>
      <c r="G78" s="134">
        <f t="shared" si="29"/>
        <v>0</v>
      </c>
      <c r="H78" s="134">
        <f t="shared" si="29"/>
        <v>0</v>
      </c>
      <c r="I78" s="156">
        <f t="shared" si="29"/>
        <v>207548.37</v>
      </c>
      <c r="J78" s="134">
        <f t="shared" si="29"/>
        <v>171209.68299999999</v>
      </c>
      <c r="K78" s="134">
        <f t="shared" si="29"/>
        <v>3137</v>
      </c>
      <c r="L78" s="134">
        <f t="shared" si="29"/>
        <v>40500</v>
      </c>
      <c r="N78" s="168">
        <f t="shared" si="9"/>
        <v>-278134.66596000001</v>
      </c>
      <c r="P78" s="134">
        <f t="shared" si="28"/>
        <v>485683.03596000001</v>
      </c>
      <c r="R78" s="169"/>
    </row>
    <row r="79" spans="1:18" s="40" customFormat="1" x14ac:dyDescent="0.25">
      <c r="A79" s="444" t="s">
        <v>240</v>
      </c>
      <c r="B79" s="444"/>
      <c r="C79" s="444"/>
      <c r="D79" s="444"/>
      <c r="E79" s="444"/>
      <c r="F79" s="444"/>
      <c r="G79" s="444"/>
      <c r="H79" s="444"/>
      <c r="I79" s="444"/>
      <c r="J79" s="444"/>
      <c r="K79" s="444"/>
      <c r="L79" s="444"/>
      <c r="N79" s="57">
        <f t="shared" si="9"/>
        <v>0</v>
      </c>
      <c r="R79" s="107"/>
    </row>
    <row r="80" spans="1:18" x14ac:dyDescent="0.25">
      <c r="A80" s="445"/>
      <c r="B80" s="446" t="s">
        <v>194</v>
      </c>
      <c r="C80" s="448" t="s">
        <v>184</v>
      </c>
      <c r="D80" s="125" t="s">
        <v>12</v>
      </c>
      <c r="E80" s="38">
        <f t="shared" ref="E80:E170" si="30">SUM(F80:L80)</f>
        <v>0</v>
      </c>
      <c r="F80" s="38">
        <f t="shared" ref="F80:H80" si="31">SUM(F81:F86)</f>
        <v>0</v>
      </c>
      <c r="G80" s="38">
        <f t="shared" si="31"/>
        <v>0</v>
      </c>
      <c r="H80" s="38">
        <f t="shared" si="31"/>
        <v>0</v>
      </c>
      <c r="I80" s="151">
        <f>SUM(I81:I86)</f>
        <v>0</v>
      </c>
      <c r="J80" s="38">
        <f t="shared" ref="J80:L80" si="32">SUM(J81:J86)</f>
        <v>0</v>
      </c>
      <c r="K80" s="38">
        <f t="shared" si="32"/>
        <v>0</v>
      </c>
      <c r="L80" s="38">
        <f t="shared" si="32"/>
        <v>0</v>
      </c>
      <c r="N80" s="57">
        <f t="shared" si="9"/>
        <v>0</v>
      </c>
      <c r="P80" s="38">
        <f>SUM(P81:P86)</f>
        <v>0</v>
      </c>
    </row>
    <row r="81" spans="1:18" x14ac:dyDescent="0.25">
      <c r="A81" s="445"/>
      <c r="B81" s="446"/>
      <c r="C81" s="449"/>
      <c r="D81" s="125" t="s">
        <v>13</v>
      </c>
      <c r="E81" s="38">
        <f t="shared" si="30"/>
        <v>0</v>
      </c>
      <c r="F81" s="39">
        <v>0</v>
      </c>
      <c r="G81" s="39">
        <v>0</v>
      </c>
      <c r="H81" s="39">
        <v>0</v>
      </c>
      <c r="I81" s="149">
        <v>0</v>
      </c>
      <c r="J81" s="39">
        <v>0</v>
      </c>
      <c r="K81" s="39">
        <v>0</v>
      </c>
      <c r="L81" s="39">
        <v>0</v>
      </c>
      <c r="N81" s="57">
        <f t="shared" si="9"/>
        <v>0</v>
      </c>
      <c r="P81" s="39">
        <v>0</v>
      </c>
    </row>
    <row r="82" spans="1:18" x14ac:dyDescent="0.25">
      <c r="A82" s="445"/>
      <c r="B82" s="446"/>
      <c r="C82" s="449"/>
      <c r="D82" s="125" t="s">
        <v>14</v>
      </c>
      <c r="E82" s="38">
        <f t="shared" si="30"/>
        <v>0</v>
      </c>
      <c r="F82" s="39">
        <v>0</v>
      </c>
      <c r="G82" s="39">
        <v>0</v>
      </c>
      <c r="H82" s="39">
        <v>0</v>
      </c>
      <c r="I82" s="149">
        <v>0</v>
      </c>
      <c r="J82" s="39">
        <v>0</v>
      </c>
      <c r="K82" s="39">
        <v>0</v>
      </c>
      <c r="L82" s="39">
        <v>0</v>
      </c>
      <c r="N82" s="57">
        <f t="shared" si="9"/>
        <v>0</v>
      </c>
      <c r="P82" s="39">
        <v>0</v>
      </c>
    </row>
    <row r="83" spans="1:18" x14ac:dyDescent="0.25">
      <c r="A83" s="445"/>
      <c r="B83" s="446"/>
      <c r="C83" s="449"/>
      <c r="D83" s="125" t="s">
        <v>15</v>
      </c>
      <c r="E83" s="38">
        <f t="shared" si="30"/>
        <v>0</v>
      </c>
      <c r="F83" s="39">
        <v>0</v>
      </c>
      <c r="G83" s="39">
        <v>0</v>
      </c>
      <c r="H83" s="39">
        <v>0</v>
      </c>
      <c r="I83" s="149">
        <v>0</v>
      </c>
      <c r="J83" s="39">
        <v>0</v>
      </c>
      <c r="K83" s="39">
        <v>0</v>
      </c>
      <c r="L83" s="39">
        <v>0</v>
      </c>
      <c r="N83" s="57">
        <f t="shared" si="9"/>
        <v>0</v>
      </c>
      <c r="P83" s="39">
        <v>0</v>
      </c>
    </row>
    <row r="84" spans="1:18" ht="30" x14ac:dyDescent="0.25">
      <c r="A84" s="445"/>
      <c r="B84" s="446"/>
      <c r="C84" s="449"/>
      <c r="D84" s="124" t="s">
        <v>92</v>
      </c>
      <c r="E84" s="38">
        <f t="shared" si="30"/>
        <v>0</v>
      </c>
      <c r="F84" s="39">
        <v>0</v>
      </c>
      <c r="G84" s="39">
        <v>0</v>
      </c>
      <c r="H84" s="39">
        <v>0</v>
      </c>
      <c r="I84" s="149">
        <v>0</v>
      </c>
      <c r="J84" s="39">
        <v>0</v>
      </c>
      <c r="K84" s="39">
        <v>0</v>
      </c>
      <c r="L84" s="39">
        <v>0</v>
      </c>
      <c r="N84" s="57">
        <f t="shared" si="9"/>
        <v>0</v>
      </c>
      <c r="P84" s="39">
        <v>0</v>
      </c>
    </row>
    <row r="85" spans="1:18" x14ac:dyDescent="0.25">
      <c r="A85" s="445"/>
      <c r="B85" s="446"/>
      <c r="C85" s="449"/>
      <c r="D85" s="124" t="s">
        <v>93</v>
      </c>
      <c r="E85" s="38">
        <f t="shared" si="30"/>
        <v>0</v>
      </c>
      <c r="F85" s="39">
        <v>0</v>
      </c>
      <c r="G85" s="39">
        <v>0</v>
      </c>
      <c r="H85" s="39">
        <v>0</v>
      </c>
      <c r="I85" s="149">
        <v>0</v>
      </c>
      <c r="J85" s="39">
        <v>0</v>
      </c>
      <c r="K85" s="39">
        <v>0</v>
      </c>
      <c r="L85" s="39">
        <v>0</v>
      </c>
      <c r="N85" s="57">
        <f t="shared" si="9"/>
        <v>0</v>
      </c>
      <c r="P85" s="39">
        <v>0</v>
      </c>
    </row>
    <row r="86" spans="1:18" s="146" customFormat="1" x14ac:dyDescent="0.25">
      <c r="A86" s="445"/>
      <c r="B86" s="446"/>
      <c r="C86" s="450"/>
      <c r="D86" s="128" t="s">
        <v>18</v>
      </c>
      <c r="E86" s="131">
        <f t="shared" si="30"/>
        <v>0</v>
      </c>
      <c r="F86" s="129">
        <v>0</v>
      </c>
      <c r="G86" s="129">
        <v>0</v>
      </c>
      <c r="H86" s="129">
        <v>0</v>
      </c>
      <c r="I86" s="152">
        <v>0</v>
      </c>
      <c r="J86" s="129">
        <v>0</v>
      </c>
      <c r="K86" s="129">
        <v>0</v>
      </c>
      <c r="L86" s="129">
        <v>0</v>
      </c>
      <c r="N86" s="153">
        <f t="shared" si="9"/>
        <v>0</v>
      </c>
      <c r="P86" s="129">
        <v>0</v>
      </c>
      <c r="R86" s="154"/>
    </row>
    <row r="87" spans="1:18" x14ac:dyDescent="0.25">
      <c r="A87" s="451" t="s">
        <v>121</v>
      </c>
      <c r="B87" s="470" t="s">
        <v>195</v>
      </c>
      <c r="C87" s="448" t="s">
        <v>8</v>
      </c>
      <c r="D87" s="125" t="s">
        <v>12</v>
      </c>
      <c r="E87" s="39">
        <f t="shared" si="30"/>
        <v>824850.68216105108</v>
      </c>
      <c r="F87" s="87">
        <f t="shared" ref="F87:H87" si="33">SUM(F88:F93)</f>
        <v>56142.819049999998</v>
      </c>
      <c r="G87" s="39">
        <f t="shared" si="33"/>
        <v>62916.400629999996</v>
      </c>
      <c r="H87" s="39">
        <f t="shared" si="33"/>
        <v>65152.898359999999</v>
      </c>
      <c r="I87" s="149">
        <f>SUM(I88:I93)</f>
        <v>68999.790269999998</v>
      </c>
      <c r="J87" s="39">
        <f t="shared" ref="J87:L87" si="34">SUM(J88:J93)</f>
        <v>71104.703286999997</v>
      </c>
      <c r="K87" s="39">
        <f t="shared" si="34"/>
        <v>71316.270322879995</v>
      </c>
      <c r="L87" s="39">
        <f t="shared" si="34"/>
        <v>429217.80024117115</v>
      </c>
      <c r="N87" s="57">
        <f t="shared" si="9"/>
        <v>-1935.9461200000078</v>
      </c>
      <c r="P87" s="39">
        <f>SUM(P88:P93)</f>
        <v>70935.736390000005</v>
      </c>
    </row>
    <row r="88" spans="1:18" x14ac:dyDescent="0.25">
      <c r="A88" s="452"/>
      <c r="B88" s="471"/>
      <c r="C88" s="449"/>
      <c r="D88" s="125" t="s">
        <v>13</v>
      </c>
      <c r="E88" s="39">
        <f t="shared" si="30"/>
        <v>0</v>
      </c>
      <c r="F88" s="87">
        <v>0</v>
      </c>
      <c r="G88" s="39">
        <v>0</v>
      </c>
      <c r="H88" s="39">
        <v>0</v>
      </c>
      <c r="I88" s="149">
        <v>0</v>
      </c>
      <c r="J88" s="39">
        <v>0</v>
      </c>
      <c r="K88" s="39">
        <v>0</v>
      </c>
      <c r="L88" s="39">
        <v>0</v>
      </c>
      <c r="N88" s="57">
        <f t="shared" si="9"/>
        <v>0</v>
      </c>
      <c r="P88" s="39">
        <v>0</v>
      </c>
    </row>
    <row r="89" spans="1:18" x14ac:dyDescent="0.25">
      <c r="A89" s="452"/>
      <c r="B89" s="471"/>
      <c r="C89" s="449"/>
      <c r="D89" s="125" t="s">
        <v>14</v>
      </c>
      <c r="E89" s="39">
        <f t="shared" si="30"/>
        <v>0</v>
      </c>
      <c r="F89" s="87">
        <v>0</v>
      </c>
      <c r="G89" s="39">
        <v>0</v>
      </c>
      <c r="H89" s="39">
        <v>0</v>
      </c>
      <c r="I89" s="149">
        <v>0</v>
      </c>
      <c r="J89" s="39">
        <v>0</v>
      </c>
      <c r="K89" s="39">
        <v>0</v>
      </c>
      <c r="L89" s="39">
        <v>0</v>
      </c>
      <c r="N89" s="57">
        <f t="shared" si="9"/>
        <v>0</v>
      </c>
      <c r="P89" s="39">
        <v>0</v>
      </c>
    </row>
    <row r="90" spans="1:18" x14ac:dyDescent="0.25">
      <c r="A90" s="452"/>
      <c r="B90" s="471"/>
      <c r="C90" s="449"/>
      <c r="D90" s="125" t="s">
        <v>15</v>
      </c>
      <c r="E90" s="39">
        <f t="shared" si="30"/>
        <v>779736.12743000011</v>
      </c>
      <c r="F90" s="87">
        <f>59077.36135-145-3150.5423+361</f>
        <v>56142.819049999998</v>
      </c>
      <c r="G90" s="39">
        <f>62317.64692+342.454+256.29971</f>
        <v>62916.400629999996</v>
      </c>
      <c r="H90" s="39">
        <f>63212.49836+1940.4</f>
        <v>65152.898359999999</v>
      </c>
      <c r="I90" s="157">
        <f>65815.52739+3184.26288</f>
        <v>68999.790269999998</v>
      </c>
      <c r="J90" s="39">
        <v>65815.527390000003</v>
      </c>
      <c r="K90" s="39">
        <v>65815.527390000003</v>
      </c>
      <c r="L90" s="39">
        <f>K90*6</f>
        <v>394893.16434000002</v>
      </c>
      <c r="N90" s="57">
        <f t="shared" si="9"/>
        <v>3184.2628799999948</v>
      </c>
      <c r="O90" s="32" t="s">
        <v>251</v>
      </c>
      <c r="P90" s="39">
        <v>65815.527390000003</v>
      </c>
      <c r="Q90" s="32" t="s">
        <v>249</v>
      </c>
      <c r="R90" s="105">
        <v>2684.2628800000002</v>
      </c>
    </row>
    <row r="91" spans="1:18" ht="30" x14ac:dyDescent="0.25">
      <c r="A91" s="452"/>
      <c r="B91" s="471"/>
      <c r="C91" s="449"/>
      <c r="D91" s="124" t="s">
        <v>94</v>
      </c>
      <c r="E91" s="39">
        <f t="shared" si="30"/>
        <v>0</v>
      </c>
      <c r="F91" s="87">
        <v>0</v>
      </c>
      <c r="G91" s="39">
        <v>0</v>
      </c>
      <c r="H91" s="39">
        <v>0</v>
      </c>
      <c r="I91" s="149">
        <v>0</v>
      </c>
      <c r="J91" s="39">
        <v>0</v>
      </c>
      <c r="K91" s="39">
        <v>0</v>
      </c>
      <c r="L91" s="39">
        <v>0</v>
      </c>
      <c r="N91" s="57">
        <f t="shared" si="9"/>
        <v>0</v>
      </c>
      <c r="P91" s="39">
        <v>0</v>
      </c>
      <c r="Q91" s="104" t="s">
        <v>250</v>
      </c>
      <c r="R91" s="108">
        <v>500</v>
      </c>
    </row>
    <row r="92" spans="1:18" x14ac:dyDescent="0.25">
      <c r="A92" s="452"/>
      <c r="B92" s="471"/>
      <c r="C92" s="449"/>
      <c r="D92" s="124" t="s">
        <v>93</v>
      </c>
      <c r="E92" s="39">
        <f t="shared" si="30"/>
        <v>0</v>
      </c>
      <c r="F92" s="87">
        <v>0</v>
      </c>
      <c r="G92" s="39">
        <v>0</v>
      </c>
      <c r="H92" s="39">
        <v>0</v>
      </c>
      <c r="I92" s="149">
        <v>0</v>
      </c>
      <c r="J92" s="73">
        <v>0</v>
      </c>
      <c r="K92" s="73">
        <v>0</v>
      </c>
      <c r="L92" s="73">
        <v>0</v>
      </c>
      <c r="N92" s="57">
        <f t="shared" si="9"/>
        <v>0</v>
      </c>
      <c r="P92" s="39">
        <v>0</v>
      </c>
    </row>
    <row r="93" spans="1:18" s="146" customFormat="1" x14ac:dyDescent="0.25">
      <c r="A93" s="453"/>
      <c r="B93" s="472"/>
      <c r="C93" s="450"/>
      <c r="D93" s="128" t="s">
        <v>18</v>
      </c>
      <c r="E93" s="129">
        <f t="shared" si="30"/>
        <v>45114.55473105111</v>
      </c>
      <c r="F93" s="162">
        <v>0</v>
      </c>
      <c r="G93" s="129">
        <v>0</v>
      </c>
      <c r="H93" s="129">
        <v>0</v>
      </c>
      <c r="I93" s="170">
        <f>5120.209-5120.209</f>
        <v>0</v>
      </c>
      <c r="J93" s="142">
        <v>5289.1758970000001</v>
      </c>
      <c r="K93" s="142">
        <f>(J87-K90)*104%</f>
        <v>5500.7429328799935</v>
      </c>
      <c r="L93" s="138">
        <f>(K87*6-L90)*104%</f>
        <v>34324.635901171117</v>
      </c>
      <c r="N93" s="153">
        <f t="shared" si="9"/>
        <v>-5120.2089999999998</v>
      </c>
      <c r="O93" s="146" t="s">
        <v>288</v>
      </c>
      <c r="P93" s="171">
        <v>5120.2089999999998</v>
      </c>
      <c r="R93" s="154"/>
    </row>
    <row r="94" spans="1:18" s="40" customFormat="1" x14ac:dyDescent="0.25">
      <c r="A94" s="473" t="s">
        <v>122</v>
      </c>
      <c r="B94" s="476" t="s">
        <v>196</v>
      </c>
      <c r="C94" s="527" t="s">
        <v>180</v>
      </c>
      <c r="D94" s="133" t="s">
        <v>12</v>
      </c>
      <c r="E94" s="134">
        <f t="shared" si="30"/>
        <v>2941671.5228572874</v>
      </c>
      <c r="F94" s="155">
        <f t="shared" ref="F94:H94" si="35">SUM(F95:F100)</f>
        <v>204445.37432000003</v>
      </c>
      <c r="G94" s="134">
        <f t="shared" si="35"/>
        <v>218568.31765000001</v>
      </c>
      <c r="H94" s="134">
        <f t="shared" si="35"/>
        <v>200993.15647000002</v>
      </c>
      <c r="I94" s="156">
        <f>SUM(I95:I100)</f>
        <v>248529.74334000002</v>
      </c>
      <c r="J94" s="136">
        <f t="shared" ref="J94:L94" si="36">SUM(J95:J100)</f>
        <v>248995.64749524</v>
      </c>
      <c r="K94" s="136">
        <f t="shared" si="36"/>
        <v>254824.1785462496</v>
      </c>
      <c r="L94" s="137">
        <f t="shared" si="36"/>
        <v>1565315.1050357977</v>
      </c>
      <c r="M94" s="167"/>
      <c r="N94" s="168">
        <f t="shared" si="9"/>
        <v>4125.1298400000087</v>
      </c>
      <c r="O94" s="167"/>
      <c r="P94" s="134">
        <f>SUM(P95:P100)</f>
        <v>244404.61350000001</v>
      </c>
      <c r="R94" s="107"/>
    </row>
    <row r="95" spans="1:18" x14ac:dyDescent="0.25">
      <c r="A95" s="474"/>
      <c r="B95" s="477"/>
      <c r="C95" s="528"/>
      <c r="D95" s="133" t="s">
        <v>13</v>
      </c>
      <c r="E95" s="134">
        <f t="shared" si="30"/>
        <v>0</v>
      </c>
      <c r="F95" s="155">
        <f>F102+F109+F116+F123</f>
        <v>0</v>
      </c>
      <c r="G95" s="134">
        <f t="shared" ref="G95:L95" si="37">G102+G109+G116+G123</f>
        <v>0</v>
      </c>
      <c r="H95" s="134">
        <f t="shared" si="37"/>
        <v>0</v>
      </c>
      <c r="I95" s="156">
        <f t="shared" si="37"/>
        <v>0</v>
      </c>
      <c r="J95" s="134">
        <f t="shared" si="37"/>
        <v>0</v>
      </c>
      <c r="K95" s="134">
        <f t="shared" si="37"/>
        <v>0</v>
      </c>
      <c r="L95" s="134">
        <f t="shared" si="37"/>
        <v>0</v>
      </c>
      <c r="M95" s="172"/>
      <c r="N95" s="168">
        <f t="shared" ref="N95:N158" si="38">I95-P95</f>
        <v>0</v>
      </c>
      <c r="O95" s="172"/>
      <c r="P95" s="134">
        <f t="shared" ref="P95:P100" si="39">P102+P109+P116+P123</f>
        <v>0</v>
      </c>
    </row>
    <row r="96" spans="1:18" x14ac:dyDescent="0.25">
      <c r="A96" s="474"/>
      <c r="B96" s="477"/>
      <c r="C96" s="528"/>
      <c r="D96" s="133" t="s">
        <v>14</v>
      </c>
      <c r="E96" s="134">
        <f t="shared" si="30"/>
        <v>1122.5</v>
      </c>
      <c r="F96" s="155">
        <f t="shared" ref="F96:L100" si="40">F103+F110+F117+F124</f>
        <v>330</v>
      </c>
      <c r="G96" s="134">
        <f t="shared" si="40"/>
        <v>143</v>
      </c>
      <c r="H96" s="134">
        <f t="shared" si="40"/>
        <v>0</v>
      </c>
      <c r="I96" s="156">
        <f>I103+I110+I117+I124</f>
        <v>649.5</v>
      </c>
      <c r="J96" s="134">
        <f t="shared" si="40"/>
        <v>0</v>
      </c>
      <c r="K96" s="134">
        <f t="shared" si="40"/>
        <v>0</v>
      </c>
      <c r="L96" s="134">
        <f t="shared" si="40"/>
        <v>0</v>
      </c>
      <c r="M96" s="172"/>
      <c r="N96" s="168">
        <f t="shared" si="38"/>
        <v>649.5</v>
      </c>
      <c r="O96" s="172"/>
      <c r="P96" s="134">
        <f t="shared" si="39"/>
        <v>0</v>
      </c>
    </row>
    <row r="97" spans="1:24" x14ac:dyDescent="0.25">
      <c r="A97" s="474"/>
      <c r="B97" s="477"/>
      <c r="C97" s="528"/>
      <c r="D97" s="133" t="s">
        <v>15</v>
      </c>
      <c r="E97" s="134">
        <f t="shared" si="30"/>
        <v>1664897.57577</v>
      </c>
      <c r="F97" s="155">
        <f t="shared" si="40"/>
        <v>204115.37432000003</v>
      </c>
      <c r="G97" s="134">
        <f t="shared" si="40"/>
        <v>218425.31765000001</v>
      </c>
      <c r="H97" s="134">
        <f t="shared" si="40"/>
        <v>200993.15647000002</v>
      </c>
      <c r="I97" s="156">
        <f t="shared" si="40"/>
        <v>213104.75757000002</v>
      </c>
      <c r="J97" s="134">
        <f t="shared" si="40"/>
        <v>105282.37122</v>
      </c>
      <c r="K97" s="134">
        <f t="shared" si="40"/>
        <v>103282.37122</v>
      </c>
      <c r="L97" s="134">
        <f t="shared" si="40"/>
        <v>619694.22731999995</v>
      </c>
      <c r="M97" s="172"/>
      <c r="N97" s="168">
        <f t="shared" si="38"/>
        <v>18256.330900000001</v>
      </c>
      <c r="O97" s="172"/>
      <c r="P97" s="134">
        <f t="shared" si="39"/>
        <v>194848.42667000002</v>
      </c>
    </row>
    <row r="98" spans="1:24" ht="30" x14ac:dyDescent="0.25">
      <c r="A98" s="474"/>
      <c r="B98" s="477"/>
      <c r="C98" s="528"/>
      <c r="D98" s="143" t="s">
        <v>94</v>
      </c>
      <c r="E98" s="134">
        <f t="shared" si="30"/>
        <v>0</v>
      </c>
      <c r="F98" s="134">
        <f t="shared" si="40"/>
        <v>0</v>
      </c>
      <c r="G98" s="134">
        <f t="shared" si="40"/>
        <v>0</v>
      </c>
      <c r="H98" s="134">
        <f t="shared" si="40"/>
        <v>0</v>
      </c>
      <c r="I98" s="156">
        <f t="shared" si="40"/>
        <v>0</v>
      </c>
      <c r="J98" s="134">
        <f t="shared" si="40"/>
        <v>0</v>
      </c>
      <c r="K98" s="134">
        <f t="shared" si="40"/>
        <v>0</v>
      </c>
      <c r="L98" s="134">
        <f t="shared" si="40"/>
        <v>0</v>
      </c>
      <c r="M98" s="172"/>
      <c r="N98" s="168">
        <f t="shared" si="38"/>
        <v>0</v>
      </c>
      <c r="O98" s="172"/>
      <c r="P98" s="134">
        <f t="shared" si="39"/>
        <v>0</v>
      </c>
    </row>
    <row r="99" spans="1:24" ht="18.75" customHeight="1" x14ac:dyDescent="0.25">
      <c r="A99" s="474"/>
      <c r="B99" s="477"/>
      <c r="C99" s="528"/>
      <c r="D99" s="143" t="s">
        <v>93</v>
      </c>
      <c r="E99" s="134">
        <f t="shared" si="30"/>
        <v>0</v>
      </c>
      <c r="F99" s="134">
        <f t="shared" si="40"/>
        <v>0</v>
      </c>
      <c r="G99" s="134">
        <f t="shared" si="40"/>
        <v>0</v>
      </c>
      <c r="H99" s="134">
        <f t="shared" si="40"/>
        <v>0</v>
      </c>
      <c r="I99" s="156">
        <f t="shared" si="40"/>
        <v>0</v>
      </c>
      <c r="J99" s="134">
        <f t="shared" si="40"/>
        <v>0</v>
      </c>
      <c r="K99" s="134">
        <f t="shared" si="40"/>
        <v>0</v>
      </c>
      <c r="L99" s="134">
        <f t="shared" si="40"/>
        <v>0</v>
      </c>
      <c r="M99" s="172"/>
      <c r="N99" s="168">
        <f t="shared" si="38"/>
        <v>0</v>
      </c>
      <c r="O99" s="172"/>
      <c r="P99" s="134">
        <f t="shared" si="39"/>
        <v>0</v>
      </c>
    </row>
    <row r="100" spans="1:24" ht="18.75" customHeight="1" x14ac:dyDescent="0.25">
      <c r="A100" s="474"/>
      <c r="B100" s="477"/>
      <c r="C100" s="529"/>
      <c r="D100" s="133" t="s">
        <v>18</v>
      </c>
      <c r="E100" s="134">
        <f t="shared" si="30"/>
        <v>1275651.4470872872</v>
      </c>
      <c r="F100" s="134">
        <f t="shared" si="40"/>
        <v>0</v>
      </c>
      <c r="G100" s="134">
        <f t="shared" si="40"/>
        <v>0</v>
      </c>
      <c r="H100" s="134">
        <f t="shared" si="40"/>
        <v>0</v>
      </c>
      <c r="I100" s="156">
        <f t="shared" si="40"/>
        <v>34775.485769999999</v>
      </c>
      <c r="J100" s="134">
        <f t="shared" si="40"/>
        <v>143713.27627524</v>
      </c>
      <c r="K100" s="134">
        <f t="shared" si="40"/>
        <v>151541.8073262496</v>
      </c>
      <c r="L100" s="134">
        <f t="shared" si="40"/>
        <v>945620.87771579763</v>
      </c>
      <c r="M100" s="172"/>
      <c r="N100" s="168">
        <f t="shared" si="38"/>
        <v>-14780.701059999999</v>
      </c>
      <c r="O100" s="172"/>
      <c r="P100" s="134">
        <f t="shared" si="39"/>
        <v>49556.186829999999</v>
      </c>
    </row>
    <row r="101" spans="1:24" s="40" customFormat="1" ht="19.5" customHeight="1" x14ac:dyDescent="0.25">
      <c r="A101" s="474"/>
      <c r="B101" s="477"/>
      <c r="C101" s="448" t="s">
        <v>208</v>
      </c>
      <c r="D101" s="125" t="s">
        <v>12</v>
      </c>
      <c r="E101" s="39">
        <f t="shared" si="30"/>
        <v>2582442.2802896365</v>
      </c>
      <c r="F101" s="87">
        <f t="shared" ref="F101:H101" si="41">SUM(F102:F107)</f>
        <v>202753.45003000004</v>
      </c>
      <c r="G101" s="39">
        <f t="shared" si="41"/>
        <v>215394.25069000002</v>
      </c>
      <c r="H101" s="39">
        <f t="shared" si="41"/>
        <v>172242.57086000001</v>
      </c>
      <c r="I101" s="149">
        <f>SUM(I102:I107)</f>
        <v>212824.0238</v>
      </c>
      <c r="J101" s="39">
        <f t="shared" ref="J101:L101" si="42">SUM(J102:J107)</f>
        <v>214298.63669444999</v>
      </c>
      <c r="K101" s="39">
        <f t="shared" si="42"/>
        <v>219195.83392662799</v>
      </c>
      <c r="L101" s="39">
        <f t="shared" si="42"/>
        <v>1345733.5142885586</v>
      </c>
      <c r="N101" s="57">
        <f t="shared" si="38"/>
        <v>2372.6162599999807</v>
      </c>
      <c r="P101" s="39">
        <f>SUM(P102:P107)</f>
        <v>210451.40754000001</v>
      </c>
      <c r="Q101" s="115" t="s">
        <v>256</v>
      </c>
      <c r="R101" s="114">
        <v>6039.0475800000004</v>
      </c>
      <c r="S101" s="61" t="s">
        <v>265</v>
      </c>
      <c r="T101" s="61"/>
      <c r="U101" s="32"/>
    </row>
    <row r="102" spans="1:24" x14ac:dyDescent="0.25">
      <c r="A102" s="474"/>
      <c r="B102" s="477"/>
      <c r="C102" s="449"/>
      <c r="D102" s="125" t="s">
        <v>13</v>
      </c>
      <c r="E102" s="39">
        <f t="shared" si="30"/>
        <v>0</v>
      </c>
      <c r="F102" s="90">
        <v>0</v>
      </c>
      <c r="G102" s="44">
        <v>0</v>
      </c>
      <c r="H102" s="44">
        <v>0</v>
      </c>
      <c r="I102" s="149">
        <v>0</v>
      </c>
      <c r="J102" s="44">
        <v>0</v>
      </c>
      <c r="K102" s="44">
        <v>0</v>
      </c>
      <c r="L102" s="44">
        <v>0</v>
      </c>
      <c r="N102" s="57">
        <f t="shared" si="38"/>
        <v>0</v>
      </c>
      <c r="P102" s="44">
        <v>0</v>
      </c>
      <c r="Q102" s="111" t="s">
        <v>266</v>
      </c>
      <c r="R102" s="110">
        <v>-4786.5339999999997</v>
      </c>
      <c r="S102" s="111" t="s">
        <v>267</v>
      </c>
      <c r="T102" s="111"/>
      <c r="U102" s="111" t="s">
        <v>268</v>
      </c>
      <c r="V102" s="111"/>
      <c r="W102" s="111"/>
      <c r="X102" s="111"/>
    </row>
    <row r="103" spans="1:24" x14ac:dyDescent="0.25">
      <c r="A103" s="474"/>
      <c r="B103" s="477"/>
      <c r="C103" s="449"/>
      <c r="D103" s="125" t="s">
        <v>14</v>
      </c>
      <c r="E103" s="39">
        <f t="shared" si="30"/>
        <v>622.5</v>
      </c>
      <c r="F103" s="90">
        <v>330</v>
      </c>
      <c r="G103" s="44">
        <v>143</v>
      </c>
      <c r="H103" s="44">
        <v>0</v>
      </c>
      <c r="I103" s="157">
        <v>149.5</v>
      </c>
      <c r="J103" s="44">
        <v>0</v>
      </c>
      <c r="K103" s="44">
        <v>0</v>
      </c>
      <c r="L103" s="44">
        <v>0</v>
      </c>
      <c r="N103" s="57">
        <f t="shared" si="38"/>
        <v>149.5</v>
      </c>
      <c r="O103" s="32" t="s">
        <v>246</v>
      </c>
      <c r="P103" s="44">
        <v>0</v>
      </c>
      <c r="Q103" s="112" t="s">
        <v>254</v>
      </c>
      <c r="R103" s="113">
        <v>149.5</v>
      </c>
      <c r="S103" s="112" t="s">
        <v>261</v>
      </c>
    </row>
    <row r="104" spans="1:24" x14ac:dyDescent="0.25">
      <c r="A104" s="474"/>
      <c r="B104" s="477"/>
      <c r="C104" s="449"/>
      <c r="D104" s="125" t="s">
        <v>15</v>
      </c>
      <c r="E104" s="39">
        <f t="shared" si="30"/>
        <v>1508053.7815</v>
      </c>
      <c r="F104" s="90">
        <f>204952.31703-148.67617-3.8-9152.8+152.47617+183.433+5000+145+674+501.4-362-500+122.1+860</f>
        <v>202423.45003000004</v>
      </c>
      <c r="G104" s="44">
        <f>218825.83488-2000-350-2867-556.03419-636.55+2835</f>
        <v>215251.25069000002</v>
      </c>
      <c r="H104" s="28">
        <f>198548.70409-26306.13323</f>
        <v>172242.57086000001</v>
      </c>
      <c r="I104" s="173">
        <f>165188.56231+11211.76649+4786.534</f>
        <v>181186.8628</v>
      </c>
      <c r="J104" s="80">
        <f>102540.17122-8671.46533</f>
        <v>93868.705889999997</v>
      </c>
      <c r="K104" s="44">
        <f>100540.17122-8671.46533</f>
        <v>91868.705889999997</v>
      </c>
      <c r="L104" s="44">
        <f>K104*6</f>
        <v>551212.23534000001</v>
      </c>
      <c r="N104" s="57">
        <f t="shared" si="38"/>
        <v>15998.300489999994</v>
      </c>
      <c r="O104" s="32" t="s">
        <v>264</v>
      </c>
      <c r="P104" s="28">
        <f>191943.60167+162.625-26917.66436</f>
        <v>165188.56231000001</v>
      </c>
      <c r="Q104" s="32" t="s">
        <v>253</v>
      </c>
      <c r="R104" s="105">
        <v>4286.6293699999997</v>
      </c>
      <c r="S104" s="32" t="s">
        <v>262</v>
      </c>
    </row>
    <row r="105" spans="1:24" ht="27.75" customHeight="1" x14ac:dyDescent="0.25">
      <c r="A105" s="474"/>
      <c r="B105" s="477"/>
      <c r="C105" s="449"/>
      <c r="D105" s="124" t="s">
        <v>94</v>
      </c>
      <c r="E105" s="39">
        <f t="shared" si="30"/>
        <v>0</v>
      </c>
      <c r="F105" s="44">
        <v>0</v>
      </c>
      <c r="G105" s="44">
        <v>0</v>
      </c>
      <c r="H105" s="44">
        <v>0</v>
      </c>
      <c r="I105" s="161">
        <v>0</v>
      </c>
      <c r="J105" s="44">
        <v>0</v>
      </c>
      <c r="K105" s="44">
        <v>0</v>
      </c>
      <c r="L105" s="44">
        <v>0</v>
      </c>
      <c r="N105" s="57">
        <f t="shared" si="38"/>
        <v>0</v>
      </c>
      <c r="P105" s="79">
        <v>0</v>
      </c>
      <c r="Q105" s="104" t="s">
        <v>255</v>
      </c>
      <c r="R105" s="108">
        <v>1925.1371200000001</v>
      </c>
      <c r="S105" s="104" t="s">
        <v>263</v>
      </c>
    </row>
    <row r="106" spans="1:24" x14ac:dyDescent="0.25">
      <c r="A106" s="474"/>
      <c r="B106" s="477"/>
      <c r="C106" s="449"/>
      <c r="D106" s="124" t="s">
        <v>93</v>
      </c>
      <c r="E106" s="39">
        <f t="shared" si="30"/>
        <v>0</v>
      </c>
      <c r="F106" s="44">
        <v>0</v>
      </c>
      <c r="G106" s="44">
        <v>0</v>
      </c>
      <c r="H106" s="44">
        <v>0</v>
      </c>
      <c r="I106" s="149">
        <v>0</v>
      </c>
      <c r="J106" s="44">
        <v>0</v>
      </c>
      <c r="K106" s="44">
        <v>0</v>
      </c>
      <c r="L106" s="44">
        <v>0</v>
      </c>
      <c r="N106" s="57">
        <f t="shared" si="38"/>
        <v>0</v>
      </c>
      <c r="P106" s="44">
        <v>0</v>
      </c>
      <c r="Q106" s="115" t="s">
        <v>258</v>
      </c>
      <c r="R106" s="116">
        <v>-1252.51358</v>
      </c>
      <c r="S106" s="115" t="s">
        <v>257</v>
      </c>
      <c r="T106" s="115"/>
    </row>
    <row r="107" spans="1:24" s="146" customFormat="1" ht="21" customHeight="1" thickBot="1" x14ac:dyDescent="0.3">
      <c r="A107" s="474"/>
      <c r="B107" s="477"/>
      <c r="C107" s="450"/>
      <c r="D107" s="128" t="s">
        <v>18</v>
      </c>
      <c r="E107" s="129">
        <f t="shared" si="30"/>
        <v>1073765.9987896367</v>
      </c>
      <c r="F107" s="130">
        <v>0</v>
      </c>
      <c r="G107" s="130">
        <v>0</v>
      </c>
      <c r="H107" s="130">
        <v>0</v>
      </c>
      <c r="I107" s="174">
        <v>31487.661</v>
      </c>
      <c r="J107" s="175">
        <v>120429.93080445001</v>
      </c>
      <c r="K107" s="142">
        <v>127327.128036628</v>
      </c>
      <c r="L107" s="145">
        <f>(K101*6-L104)*104%</f>
        <v>794521.27894855873</v>
      </c>
      <c r="N107" s="153">
        <f t="shared" si="38"/>
        <v>-13775.184229999999</v>
      </c>
      <c r="O107" s="176"/>
      <c r="P107" s="142">
        <f>49556.18683-4293.3416</f>
        <v>45262.845229999999</v>
      </c>
      <c r="Q107" s="146" t="s">
        <v>260</v>
      </c>
      <c r="R107" s="154">
        <v>5000</v>
      </c>
      <c r="S107" s="146" t="s">
        <v>259</v>
      </c>
    </row>
    <row r="108" spans="1:24" ht="21" customHeight="1" thickBot="1" x14ac:dyDescent="0.3">
      <c r="A108" s="474"/>
      <c r="B108" s="477"/>
      <c r="C108" s="482" t="s">
        <v>209</v>
      </c>
      <c r="D108" s="125" t="s">
        <v>12</v>
      </c>
      <c r="E108" s="39">
        <f t="shared" si="30"/>
        <v>325486.48535765044</v>
      </c>
      <c r="F108" s="44">
        <f t="shared" ref="F108:H108" si="43">SUM(F109:F114)</f>
        <v>0</v>
      </c>
      <c r="G108" s="44">
        <f t="shared" si="43"/>
        <v>0</v>
      </c>
      <c r="H108" s="44">
        <f t="shared" si="43"/>
        <v>26306.133229999999</v>
      </c>
      <c r="I108" s="149">
        <f>SUM(I109:I114)</f>
        <v>31211.005959999999</v>
      </c>
      <c r="J108" s="44">
        <f t="shared" ref="J108:L108" si="44">SUM(J109:J114)</f>
        <v>31954.810800790001</v>
      </c>
      <c r="K108" s="44">
        <f t="shared" si="44"/>
        <v>32886.144619621606</v>
      </c>
      <c r="L108" s="44">
        <f t="shared" si="44"/>
        <v>203128.39074723885</v>
      </c>
      <c r="N108" s="57">
        <f t="shared" si="38"/>
        <v>0</v>
      </c>
      <c r="P108" s="44">
        <f>SUM(P109:P114)</f>
        <v>31211.005959999999</v>
      </c>
      <c r="R108" s="117">
        <f>R101+R104+R105+R106+R107</f>
        <v>15998.30049</v>
      </c>
    </row>
    <row r="109" spans="1:24" ht="21" customHeight="1" x14ac:dyDescent="0.25">
      <c r="A109" s="474"/>
      <c r="B109" s="477"/>
      <c r="C109" s="483"/>
      <c r="D109" s="125" t="s">
        <v>13</v>
      </c>
      <c r="E109" s="39">
        <f t="shared" si="30"/>
        <v>0</v>
      </c>
      <c r="F109" s="44"/>
      <c r="G109" s="44"/>
      <c r="H109" s="44"/>
      <c r="I109" s="177"/>
      <c r="J109" s="43"/>
      <c r="K109" s="42"/>
      <c r="L109" s="80"/>
      <c r="N109" s="57">
        <f t="shared" si="38"/>
        <v>0</v>
      </c>
      <c r="P109" s="42"/>
    </row>
    <row r="110" spans="1:24" ht="21" customHeight="1" x14ac:dyDescent="0.25">
      <c r="A110" s="474"/>
      <c r="B110" s="477"/>
      <c r="C110" s="483"/>
      <c r="D110" s="125" t="s">
        <v>14</v>
      </c>
      <c r="E110" s="39">
        <f t="shared" si="30"/>
        <v>0</v>
      </c>
      <c r="F110" s="44"/>
      <c r="G110" s="44"/>
      <c r="H110" s="44"/>
      <c r="I110" s="177"/>
      <c r="J110" s="43"/>
      <c r="K110" s="42"/>
      <c r="L110" s="80"/>
      <c r="N110" s="57">
        <f t="shared" si="38"/>
        <v>0</v>
      </c>
      <c r="P110" s="42"/>
    </row>
    <row r="111" spans="1:24" ht="21" customHeight="1" x14ac:dyDescent="0.25">
      <c r="A111" s="474"/>
      <c r="B111" s="477"/>
      <c r="C111" s="483"/>
      <c r="D111" s="125" t="s">
        <v>15</v>
      </c>
      <c r="E111" s="39">
        <f t="shared" si="30"/>
        <v>123601.03706</v>
      </c>
      <c r="F111" s="44"/>
      <c r="G111" s="44"/>
      <c r="H111" s="44">
        <v>26306.133229999999</v>
      </c>
      <c r="I111" s="178">
        <f>26917.66436+1005.51683</f>
        <v>27923.181189999999</v>
      </c>
      <c r="J111" s="43">
        <v>8671.4653300000009</v>
      </c>
      <c r="K111" s="42">
        <v>8671.4653300000009</v>
      </c>
      <c r="L111" s="80">
        <f>K111*6</f>
        <v>52028.791980000009</v>
      </c>
      <c r="N111" s="57">
        <f t="shared" si="38"/>
        <v>1005.5168300000005</v>
      </c>
      <c r="O111" s="32" t="s">
        <v>270</v>
      </c>
      <c r="P111" s="42">
        <v>26917.664359999999</v>
      </c>
      <c r="Q111" s="32" t="s">
        <v>269</v>
      </c>
      <c r="R111" s="105">
        <v>1005.51683</v>
      </c>
      <c r="S111" s="32" t="s">
        <v>252</v>
      </c>
    </row>
    <row r="112" spans="1:24" ht="21" customHeight="1" x14ac:dyDescent="0.25">
      <c r="A112" s="474"/>
      <c r="B112" s="477"/>
      <c r="C112" s="483"/>
      <c r="D112" s="124" t="s">
        <v>94</v>
      </c>
      <c r="E112" s="39">
        <f t="shared" si="30"/>
        <v>0</v>
      </c>
      <c r="F112" s="44"/>
      <c r="G112" s="44"/>
      <c r="H112" s="44"/>
      <c r="I112" s="177"/>
      <c r="J112" s="43"/>
      <c r="K112" s="42"/>
      <c r="L112" s="80"/>
      <c r="N112" s="57">
        <f t="shared" si="38"/>
        <v>0</v>
      </c>
      <c r="P112" s="42"/>
    </row>
    <row r="113" spans="1:18" x14ac:dyDescent="0.25">
      <c r="A113" s="474"/>
      <c r="B113" s="477"/>
      <c r="C113" s="483"/>
      <c r="D113" s="124" t="s">
        <v>93</v>
      </c>
      <c r="E113" s="39">
        <f t="shared" si="30"/>
        <v>0</v>
      </c>
      <c r="F113" s="44"/>
      <c r="G113" s="44"/>
      <c r="H113" s="44"/>
      <c r="I113" s="177"/>
      <c r="J113" s="43"/>
      <c r="K113" s="42"/>
      <c r="L113" s="80"/>
      <c r="N113" s="57">
        <f t="shared" si="38"/>
        <v>0</v>
      </c>
      <c r="P113" s="42"/>
    </row>
    <row r="114" spans="1:18" s="146" customFormat="1" x14ac:dyDescent="0.25">
      <c r="A114" s="474"/>
      <c r="B114" s="477"/>
      <c r="C114" s="484"/>
      <c r="D114" s="128" t="s">
        <v>18</v>
      </c>
      <c r="E114" s="129">
        <f t="shared" si="30"/>
        <v>201885.44829765044</v>
      </c>
      <c r="F114" s="130"/>
      <c r="G114" s="130"/>
      <c r="H114" s="130"/>
      <c r="I114" s="179">
        <f>4293.3416-1005.51683</f>
        <v>3287.8247699999997</v>
      </c>
      <c r="J114" s="180">
        <v>23283.345470789998</v>
      </c>
      <c r="K114" s="180">
        <f>(J108-K111)*104%</f>
        <v>24214.679289621603</v>
      </c>
      <c r="L114" s="145">
        <f>(K108*6-L111)*104%</f>
        <v>151099.59876723884</v>
      </c>
      <c r="N114" s="153">
        <f t="shared" si="38"/>
        <v>-1005.51683</v>
      </c>
      <c r="O114" s="181" t="s">
        <v>288</v>
      </c>
      <c r="P114" s="182">
        <v>4293.3415999999997</v>
      </c>
      <c r="R114" s="154"/>
    </row>
    <row r="115" spans="1:18" s="40" customFormat="1" x14ac:dyDescent="0.25">
      <c r="A115" s="474"/>
      <c r="B115" s="477"/>
      <c r="C115" s="448" t="s">
        <v>146</v>
      </c>
      <c r="D115" s="125" t="s">
        <v>12</v>
      </c>
      <c r="E115" s="39">
        <f t="shared" si="30"/>
        <v>29238.943629999998</v>
      </c>
      <c r="F115" s="87">
        <f t="shared" ref="F115:H115" si="45">SUM(F116:F121)</f>
        <v>1691.9242900000002</v>
      </c>
      <c r="G115" s="39">
        <f t="shared" si="45"/>
        <v>1872.46696</v>
      </c>
      <c r="H115" s="39">
        <f t="shared" si="45"/>
        <v>994.7523799999999</v>
      </c>
      <c r="I115" s="161">
        <f>SUM(I116:I121)</f>
        <v>2742.2</v>
      </c>
      <c r="J115" s="45">
        <f t="shared" ref="J115:L115" si="46">SUM(J116:J121)</f>
        <v>2742.2</v>
      </c>
      <c r="K115" s="45">
        <f t="shared" si="46"/>
        <v>2742.2</v>
      </c>
      <c r="L115" s="39">
        <f t="shared" si="46"/>
        <v>16453.199999999997</v>
      </c>
      <c r="N115" s="57">
        <f t="shared" si="38"/>
        <v>0</v>
      </c>
      <c r="P115" s="45">
        <f>SUM(P116:P121)</f>
        <v>2742.2</v>
      </c>
      <c r="R115" s="107"/>
    </row>
    <row r="116" spans="1:18" x14ac:dyDescent="0.25">
      <c r="A116" s="474"/>
      <c r="B116" s="477"/>
      <c r="C116" s="449"/>
      <c r="D116" s="125" t="s">
        <v>13</v>
      </c>
      <c r="E116" s="39">
        <f t="shared" si="30"/>
        <v>0</v>
      </c>
      <c r="F116" s="87">
        <v>0</v>
      </c>
      <c r="G116" s="39">
        <v>0</v>
      </c>
      <c r="H116" s="39">
        <v>0</v>
      </c>
      <c r="I116" s="149">
        <v>0</v>
      </c>
      <c r="J116" s="39">
        <v>0</v>
      </c>
      <c r="K116" s="39">
        <v>0</v>
      </c>
      <c r="L116" s="39">
        <v>0</v>
      </c>
      <c r="N116" s="57">
        <f t="shared" si="38"/>
        <v>0</v>
      </c>
      <c r="P116" s="39">
        <v>0</v>
      </c>
    </row>
    <row r="117" spans="1:18" x14ac:dyDescent="0.25">
      <c r="A117" s="474"/>
      <c r="B117" s="477"/>
      <c r="C117" s="449"/>
      <c r="D117" s="125" t="s">
        <v>14</v>
      </c>
      <c r="E117" s="39">
        <f t="shared" si="30"/>
        <v>0</v>
      </c>
      <c r="F117" s="87">
        <v>0</v>
      </c>
      <c r="G117" s="39">
        <v>0</v>
      </c>
      <c r="H117" s="39">
        <v>0</v>
      </c>
      <c r="I117" s="149">
        <v>0</v>
      </c>
      <c r="J117" s="39">
        <v>0</v>
      </c>
      <c r="K117" s="39">
        <v>0</v>
      </c>
      <c r="L117" s="39">
        <v>0</v>
      </c>
      <c r="N117" s="57">
        <f t="shared" si="38"/>
        <v>0</v>
      </c>
      <c r="P117" s="39">
        <v>0</v>
      </c>
    </row>
    <row r="118" spans="1:18" x14ac:dyDescent="0.25">
      <c r="A118" s="474"/>
      <c r="B118" s="477"/>
      <c r="C118" s="449"/>
      <c r="D118" s="125" t="s">
        <v>15</v>
      </c>
      <c r="E118" s="39">
        <f t="shared" si="30"/>
        <v>29238.943629999998</v>
      </c>
      <c r="F118" s="87">
        <f>1864.65-172.72571</f>
        <v>1691.9242900000002</v>
      </c>
      <c r="G118" s="39">
        <f>2128.76667-256.29971</f>
        <v>1872.46696</v>
      </c>
      <c r="H118" s="39">
        <f>1025.87106-31.11868</f>
        <v>994.7523799999999</v>
      </c>
      <c r="I118" s="149">
        <v>2742.2</v>
      </c>
      <c r="J118" s="39">
        <v>2742.2</v>
      </c>
      <c r="K118" s="39">
        <v>2742.2</v>
      </c>
      <c r="L118" s="39">
        <f>K118*6</f>
        <v>16453.199999999997</v>
      </c>
      <c r="N118" s="57">
        <f t="shared" si="38"/>
        <v>0</v>
      </c>
      <c r="P118" s="39">
        <v>2742.2</v>
      </c>
    </row>
    <row r="119" spans="1:18" ht="30" x14ac:dyDescent="0.25">
      <c r="A119" s="474"/>
      <c r="B119" s="477"/>
      <c r="C119" s="449"/>
      <c r="D119" s="124" t="s">
        <v>94</v>
      </c>
      <c r="E119" s="39">
        <f t="shared" si="30"/>
        <v>0</v>
      </c>
      <c r="F119" s="39">
        <v>0</v>
      </c>
      <c r="G119" s="39">
        <v>0</v>
      </c>
      <c r="H119" s="39">
        <v>0</v>
      </c>
      <c r="I119" s="149">
        <v>0</v>
      </c>
      <c r="J119" s="39">
        <v>0</v>
      </c>
      <c r="K119" s="39">
        <v>0</v>
      </c>
      <c r="L119" s="39">
        <v>0</v>
      </c>
      <c r="N119" s="57">
        <f t="shared" si="38"/>
        <v>0</v>
      </c>
      <c r="P119" s="39">
        <v>0</v>
      </c>
    </row>
    <row r="120" spans="1:18" x14ac:dyDescent="0.25">
      <c r="A120" s="474"/>
      <c r="B120" s="477"/>
      <c r="C120" s="449"/>
      <c r="D120" s="124" t="s">
        <v>93</v>
      </c>
      <c r="E120" s="39">
        <f t="shared" si="30"/>
        <v>0</v>
      </c>
      <c r="F120" s="39">
        <v>0</v>
      </c>
      <c r="G120" s="39">
        <v>0</v>
      </c>
      <c r="H120" s="39">
        <v>0</v>
      </c>
      <c r="I120" s="149">
        <v>0</v>
      </c>
      <c r="J120" s="39">
        <v>0</v>
      </c>
      <c r="K120" s="39">
        <v>0</v>
      </c>
      <c r="L120" s="39">
        <v>0</v>
      </c>
      <c r="N120" s="57">
        <f t="shared" si="38"/>
        <v>0</v>
      </c>
      <c r="P120" s="39">
        <v>0</v>
      </c>
    </row>
    <row r="121" spans="1:18" s="146" customFormat="1" x14ac:dyDescent="0.25">
      <c r="A121" s="474"/>
      <c r="B121" s="477"/>
      <c r="C121" s="450"/>
      <c r="D121" s="128" t="s">
        <v>18</v>
      </c>
      <c r="E121" s="129">
        <f t="shared" si="30"/>
        <v>0</v>
      </c>
      <c r="F121" s="129">
        <v>0</v>
      </c>
      <c r="G121" s="129">
        <v>0</v>
      </c>
      <c r="H121" s="129">
        <v>0</v>
      </c>
      <c r="I121" s="152">
        <v>0</v>
      </c>
      <c r="J121" s="129">
        <v>0</v>
      </c>
      <c r="K121" s="129">
        <v>0</v>
      </c>
      <c r="L121" s="129">
        <v>0</v>
      </c>
      <c r="N121" s="153">
        <f t="shared" si="38"/>
        <v>0</v>
      </c>
      <c r="P121" s="129">
        <v>0</v>
      </c>
      <c r="R121" s="154"/>
    </row>
    <row r="122" spans="1:18" s="40" customFormat="1" x14ac:dyDescent="0.25">
      <c r="A122" s="474"/>
      <c r="B122" s="477"/>
      <c r="C122" s="460" t="s">
        <v>147</v>
      </c>
      <c r="D122" s="125" t="s">
        <v>12</v>
      </c>
      <c r="E122" s="39">
        <f t="shared" ref="E122:E128" si="47">SUM(F122:L122)</f>
        <v>4503.81358</v>
      </c>
      <c r="F122" s="39">
        <f t="shared" ref="F122:H122" si="48">SUM(F123:F128)</f>
        <v>0</v>
      </c>
      <c r="G122" s="39">
        <f t="shared" si="48"/>
        <v>1301.5999999999999</v>
      </c>
      <c r="H122" s="39">
        <f t="shared" si="48"/>
        <v>1449.7</v>
      </c>
      <c r="I122" s="149">
        <f>SUM(I123:I128)</f>
        <v>1752.51358</v>
      </c>
      <c r="J122" s="39">
        <f t="shared" ref="J122:L122" si="49">SUM(J123:J128)</f>
        <v>0</v>
      </c>
      <c r="K122" s="39">
        <f t="shared" si="49"/>
        <v>0</v>
      </c>
      <c r="L122" s="39">
        <f t="shared" si="49"/>
        <v>0</v>
      </c>
      <c r="N122" s="57">
        <f t="shared" si="38"/>
        <v>1752.51358</v>
      </c>
      <c r="P122" s="39">
        <f>SUM(P123:P128)</f>
        <v>0</v>
      </c>
      <c r="R122" s="107"/>
    </row>
    <row r="123" spans="1:18" x14ac:dyDescent="0.25">
      <c r="A123" s="474"/>
      <c r="B123" s="477"/>
      <c r="C123" s="460"/>
      <c r="D123" s="125" t="s">
        <v>13</v>
      </c>
      <c r="E123" s="39">
        <f t="shared" si="47"/>
        <v>0</v>
      </c>
      <c r="F123" s="39">
        <v>0</v>
      </c>
      <c r="G123" s="39">
        <v>0</v>
      </c>
      <c r="H123" s="39">
        <v>0</v>
      </c>
      <c r="I123" s="149">
        <v>0</v>
      </c>
      <c r="J123" s="39">
        <v>0</v>
      </c>
      <c r="K123" s="39">
        <v>0</v>
      </c>
      <c r="L123" s="39">
        <v>0</v>
      </c>
      <c r="N123" s="57">
        <f t="shared" si="38"/>
        <v>0</v>
      </c>
      <c r="P123" s="39">
        <v>0</v>
      </c>
    </row>
    <row r="124" spans="1:18" x14ac:dyDescent="0.25">
      <c r="A124" s="474"/>
      <c r="B124" s="477"/>
      <c r="C124" s="460"/>
      <c r="D124" s="125" t="s">
        <v>14</v>
      </c>
      <c r="E124" s="39">
        <f t="shared" si="47"/>
        <v>500</v>
      </c>
      <c r="F124" s="39">
        <v>0</v>
      </c>
      <c r="G124" s="39">
        <v>0</v>
      </c>
      <c r="H124" s="39">
        <v>0</v>
      </c>
      <c r="I124" s="157">
        <v>500</v>
      </c>
      <c r="J124" s="38">
        <v>0</v>
      </c>
      <c r="K124" s="38">
        <v>0</v>
      </c>
      <c r="L124" s="38">
        <v>0</v>
      </c>
      <c r="N124" s="57">
        <f t="shared" si="38"/>
        <v>500</v>
      </c>
      <c r="O124" s="32" t="s">
        <v>246</v>
      </c>
      <c r="P124" s="38">
        <v>0</v>
      </c>
      <c r="Q124" s="32" t="s">
        <v>282</v>
      </c>
      <c r="R124" s="105">
        <v>500</v>
      </c>
    </row>
    <row r="125" spans="1:18" x14ac:dyDescent="0.25">
      <c r="A125" s="474"/>
      <c r="B125" s="477"/>
      <c r="C125" s="460"/>
      <c r="D125" s="125" t="s">
        <v>15</v>
      </c>
      <c r="E125" s="39">
        <f t="shared" si="47"/>
        <v>4003.81358</v>
      </c>
      <c r="F125" s="39">
        <v>0</v>
      </c>
      <c r="G125" s="39">
        <v>1301.5999999999999</v>
      </c>
      <c r="H125" s="39">
        <v>1449.7</v>
      </c>
      <c r="I125" s="157">
        <v>1252.51358</v>
      </c>
      <c r="J125" s="39"/>
      <c r="K125" s="39"/>
      <c r="L125" s="38">
        <v>0</v>
      </c>
      <c r="N125" s="57">
        <f t="shared" si="38"/>
        <v>1252.51358</v>
      </c>
      <c r="O125" s="32" t="s">
        <v>283</v>
      </c>
      <c r="P125" s="39"/>
      <c r="Q125" s="32" t="s">
        <v>282</v>
      </c>
      <c r="R125" s="105">
        <v>1252.51358</v>
      </c>
    </row>
    <row r="126" spans="1:18" ht="30" x14ac:dyDescent="0.25">
      <c r="A126" s="474"/>
      <c r="B126" s="477"/>
      <c r="C126" s="460"/>
      <c r="D126" s="124" t="s">
        <v>94</v>
      </c>
      <c r="E126" s="39">
        <f t="shared" si="47"/>
        <v>0</v>
      </c>
      <c r="F126" s="39">
        <v>0</v>
      </c>
      <c r="G126" s="39">
        <v>0</v>
      </c>
      <c r="H126" s="39">
        <v>0</v>
      </c>
      <c r="I126" s="151">
        <v>0</v>
      </c>
      <c r="J126" s="38">
        <v>0</v>
      </c>
      <c r="K126" s="38">
        <v>0</v>
      </c>
      <c r="L126" s="38">
        <v>0</v>
      </c>
      <c r="N126" s="57">
        <f t="shared" si="38"/>
        <v>0</v>
      </c>
      <c r="P126" s="38">
        <v>0</v>
      </c>
    </row>
    <row r="127" spans="1:18" x14ac:dyDescent="0.25">
      <c r="A127" s="474"/>
      <c r="B127" s="477"/>
      <c r="C127" s="460"/>
      <c r="D127" s="124" t="s">
        <v>93</v>
      </c>
      <c r="E127" s="39">
        <f t="shared" si="47"/>
        <v>0</v>
      </c>
      <c r="F127" s="39">
        <v>0</v>
      </c>
      <c r="G127" s="39">
        <v>0</v>
      </c>
      <c r="H127" s="39">
        <v>0</v>
      </c>
      <c r="I127" s="151">
        <v>0</v>
      </c>
      <c r="J127" s="38">
        <v>0</v>
      </c>
      <c r="K127" s="38">
        <v>0</v>
      </c>
      <c r="L127" s="38">
        <v>0</v>
      </c>
      <c r="N127" s="57">
        <f t="shared" si="38"/>
        <v>0</v>
      </c>
      <c r="P127" s="38">
        <v>0</v>
      </c>
    </row>
    <row r="128" spans="1:18" s="146" customFormat="1" x14ac:dyDescent="0.25">
      <c r="A128" s="475"/>
      <c r="B128" s="478"/>
      <c r="C128" s="460"/>
      <c r="D128" s="128" t="s">
        <v>18</v>
      </c>
      <c r="E128" s="129">
        <f t="shared" si="47"/>
        <v>0</v>
      </c>
      <c r="F128" s="129">
        <v>0</v>
      </c>
      <c r="G128" s="129">
        <v>0</v>
      </c>
      <c r="H128" s="129">
        <v>0</v>
      </c>
      <c r="I128" s="183">
        <v>0</v>
      </c>
      <c r="J128" s="131">
        <v>0</v>
      </c>
      <c r="K128" s="131">
        <v>0</v>
      </c>
      <c r="L128" s="131">
        <v>0</v>
      </c>
      <c r="N128" s="153">
        <f t="shared" si="38"/>
        <v>0</v>
      </c>
      <c r="P128" s="131">
        <v>0</v>
      </c>
      <c r="R128" s="154"/>
    </row>
    <row r="129" spans="1:18" x14ac:dyDescent="0.25">
      <c r="A129" s="451" t="s">
        <v>124</v>
      </c>
      <c r="B129" s="485" t="s">
        <v>170</v>
      </c>
      <c r="C129" s="460" t="s">
        <v>8</v>
      </c>
      <c r="D129" s="125" t="s">
        <v>12</v>
      </c>
      <c r="E129" s="39">
        <f t="shared" si="30"/>
        <v>30305.620798399999</v>
      </c>
      <c r="F129" s="87">
        <f t="shared" ref="F129:H129" si="50">SUM(F130:F135)</f>
        <v>1170</v>
      </c>
      <c r="G129" s="39">
        <f t="shared" si="50"/>
        <v>1840</v>
      </c>
      <c r="H129" s="39">
        <f t="shared" si="50"/>
        <v>1837</v>
      </c>
      <c r="I129" s="149">
        <f>SUM(I130:I135)</f>
        <v>1837</v>
      </c>
      <c r="J129" s="39">
        <f t="shared" ref="J129:L129" si="51">SUM(J130:J135)</f>
        <v>2883.4290000000001</v>
      </c>
      <c r="K129" s="39">
        <f t="shared" si="51"/>
        <v>2925.2861599999997</v>
      </c>
      <c r="L129" s="39">
        <f t="shared" si="51"/>
        <v>17812.9056384</v>
      </c>
      <c r="N129" s="57">
        <f t="shared" si="38"/>
        <v>-1013</v>
      </c>
      <c r="P129" s="39">
        <f>SUM(P130:P135)</f>
        <v>2850</v>
      </c>
    </row>
    <row r="130" spans="1:18" x14ac:dyDescent="0.25">
      <c r="A130" s="452"/>
      <c r="B130" s="486"/>
      <c r="C130" s="460"/>
      <c r="D130" s="125" t="s">
        <v>13</v>
      </c>
      <c r="E130" s="39">
        <f t="shared" si="30"/>
        <v>0</v>
      </c>
      <c r="F130" s="87">
        <v>0</v>
      </c>
      <c r="G130" s="39">
        <v>0</v>
      </c>
      <c r="H130" s="39">
        <v>0</v>
      </c>
      <c r="I130" s="149">
        <v>0</v>
      </c>
      <c r="J130" s="39">
        <v>0</v>
      </c>
      <c r="K130" s="39">
        <v>0</v>
      </c>
      <c r="L130" s="39">
        <v>0</v>
      </c>
      <c r="N130" s="57">
        <f t="shared" si="38"/>
        <v>0</v>
      </c>
      <c r="P130" s="39">
        <v>0</v>
      </c>
    </row>
    <row r="131" spans="1:18" x14ac:dyDescent="0.25">
      <c r="A131" s="452"/>
      <c r="B131" s="486"/>
      <c r="C131" s="460"/>
      <c r="D131" s="125" t="s">
        <v>14</v>
      </c>
      <c r="E131" s="39">
        <f t="shared" si="30"/>
        <v>0</v>
      </c>
      <c r="F131" s="87">
        <v>0</v>
      </c>
      <c r="G131" s="39">
        <v>0</v>
      </c>
      <c r="H131" s="39">
        <v>0</v>
      </c>
      <c r="I131" s="149">
        <v>0</v>
      </c>
      <c r="J131" s="39">
        <v>0</v>
      </c>
      <c r="K131" s="39">
        <v>0</v>
      </c>
      <c r="L131" s="39">
        <v>0</v>
      </c>
      <c r="N131" s="57">
        <f t="shared" si="38"/>
        <v>0</v>
      </c>
      <c r="P131" s="39">
        <v>0</v>
      </c>
    </row>
    <row r="132" spans="1:18" x14ac:dyDescent="0.25">
      <c r="A132" s="452"/>
      <c r="B132" s="486"/>
      <c r="C132" s="460"/>
      <c r="D132" s="125" t="s">
        <v>15</v>
      </c>
      <c r="E132" s="39">
        <f t="shared" si="30"/>
        <v>21380</v>
      </c>
      <c r="F132" s="87">
        <v>1170</v>
      </c>
      <c r="G132" s="39">
        <v>1840</v>
      </c>
      <c r="H132" s="39">
        <v>1837</v>
      </c>
      <c r="I132" s="149">
        <v>1837</v>
      </c>
      <c r="J132" s="39">
        <v>1837</v>
      </c>
      <c r="K132" s="39">
        <v>1837</v>
      </c>
      <c r="L132" s="39">
        <f>K132*6</f>
        <v>11022</v>
      </c>
      <c r="N132" s="57">
        <f t="shared" si="38"/>
        <v>0</v>
      </c>
      <c r="P132" s="39">
        <v>1837</v>
      </c>
    </row>
    <row r="133" spans="1:18" ht="30" x14ac:dyDescent="0.25">
      <c r="A133" s="452"/>
      <c r="B133" s="486"/>
      <c r="C133" s="460"/>
      <c r="D133" s="124" t="s">
        <v>94</v>
      </c>
      <c r="E133" s="39">
        <f t="shared" si="30"/>
        <v>0</v>
      </c>
      <c r="F133" s="39">
        <v>0</v>
      </c>
      <c r="G133" s="39">
        <v>0</v>
      </c>
      <c r="H133" s="39">
        <v>0</v>
      </c>
      <c r="I133" s="149">
        <v>0</v>
      </c>
      <c r="J133" s="39">
        <v>0</v>
      </c>
      <c r="K133" s="39">
        <v>0</v>
      </c>
      <c r="L133" s="39">
        <v>0</v>
      </c>
      <c r="N133" s="57">
        <f t="shared" si="38"/>
        <v>0</v>
      </c>
      <c r="P133" s="39">
        <v>0</v>
      </c>
    </row>
    <row r="134" spans="1:18" x14ac:dyDescent="0.25">
      <c r="A134" s="452"/>
      <c r="B134" s="486"/>
      <c r="C134" s="460"/>
      <c r="D134" s="124" t="s">
        <v>93</v>
      </c>
      <c r="E134" s="39">
        <f t="shared" si="30"/>
        <v>0</v>
      </c>
      <c r="F134" s="39">
        <v>0</v>
      </c>
      <c r="G134" s="39">
        <v>0</v>
      </c>
      <c r="H134" s="39">
        <v>0</v>
      </c>
      <c r="I134" s="149">
        <v>0</v>
      </c>
      <c r="J134" s="39">
        <v>0</v>
      </c>
      <c r="K134" s="39">
        <v>0</v>
      </c>
      <c r="L134" s="39">
        <v>0</v>
      </c>
      <c r="N134" s="57">
        <f t="shared" si="38"/>
        <v>0</v>
      </c>
      <c r="P134" s="39">
        <v>0</v>
      </c>
    </row>
    <row r="135" spans="1:18" s="146" customFormat="1" x14ac:dyDescent="0.25">
      <c r="A135" s="453"/>
      <c r="B135" s="487"/>
      <c r="C135" s="460"/>
      <c r="D135" s="128" t="s">
        <v>18</v>
      </c>
      <c r="E135" s="129">
        <f t="shared" si="30"/>
        <v>8925.6207983999975</v>
      </c>
      <c r="F135" s="129">
        <v>0</v>
      </c>
      <c r="G135" s="129">
        <v>0</v>
      </c>
      <c r="H135" s="129">
        <v>0</v>
      </c>
      <c r="I135" s="184">
        <f>1013-1013</f>
        <v>0</v>
      </c>
      <c r="J135" s="129">
        <v>1046.4289999999999</v>
      </c>
      <c r="K135" s="129">
        <v>1088.2861599999999</v>
      </c>
      <c r="L135" s="138">
        <f>(K129*6-L132)*104%</f>
        <v>6790.9056383999978</v>
      </c>
      <c r="N135" s="153">
        <f t="shared" si="38"/>
        <v>-1013</v>
      </c>
      <c r="O135" s="146" t="s">
        <v>288</v>
      </c>
      <c r="P135" s="129">
        <v>1013</v>
      </c>
      <c r="R135" s="154"/>
    </row>
    <row r="136" spans="1:18" x14ac:dyDescent="0.25">
      <c r="A136" s="451" t="s">
        <v>125</v>
      </c>
      <c r="B136" s="476" t="s">
        <v>197</v>
      </c>
      <c r="C136" s="530" t="s">
        <v>162</v>
      </c>
      <c r="D136" s="133" t="s">
        <v>12</v>
      </c>
      <c r="E136" s="134">
        <f t="shared" si="30"/>
        <v>623561.71952288703</v>
      </c>
      <c r="F136" s="155">
        <f t="shared" ref="F136:H136" si="52">SUM(F137:F142)</f>
        <v>42352.774519999999</v>
      </c>
      <c r="G136" s="134">
        <f t="shared" si="52"/>
        <v>47203.258170000001</v>
      </c>
      <c r="H136" s="134">
        <f t="shared" si="52"/>
        <v>45668.996569999996</v>
      </c>
      <c r="I136" s="156">
        <f>SUM(I137:I142)</f>
        <v>49926.384679999894</v>
      </c>
      <c r="J136" s="134">
        <f t="shared" ref="J136:L136" si="53">SUM(J137:J142)</f>
        <v>51767.683029500004</v>
      </c>
      <c r="K136" s="134">
        <f t="shared" si="53"/>
        <v>54266.296424280001</v>
      </c>
      <c r="L136" s="134">
        <f t="shared" si="53"/>
        <v>332376.32612910715</v>
      </c>
      <c r="M136" s="172"/>
      <c r="N136" s="168">
        <f t="shared" si="38"/>
        <v>-598.49998000010237</v>
      </c>
      <c r="O136" s="172"/>
      <c r="P136" s="134">
        <f>SUM(P137:P142)</f>
        <v>50524.884659999996</v>
      </c>
    </row>
    <row r="137" spans="1:18" s="63" customFormat="1" x14ac:dyDescent="0.25">
      <c r="A137" s="452"/>
      <c r="B137" s="477"/>
      <c r="C137" s="531"/>
      <c r="D137" s="185" t="s">
        <v>13</v>
      </c>
      <c r="E137" s="135">
        <f t="shared" si="30"/>
        <v>312.29999999999995</v>
      </c>
      <c r="F137" s="186">
        <f>F144+F151</f>
        <v>13.6</v>
      </c>
      <c r="G137" s="135">
        <f t="shared" ref="G137:L137" si="54">G144+G151</f>
        <v>0</v>
      </c>
      <c r="H137" s="135">
        <f t="shared" si="54"/>
        <v>50.9</v>
      </c>
      <c r="I137" s="156">
        <f t="shared" si="54"/>
        <v>82.6</v>
      </c>
      <c r="J137" s="135">
        <f t="shared" si="54"/>
        <v>82.6</v>
      </c>
      <c r="K137" s="135">
        <f t="shared" si="54"/>
        <v>82.6</v>
      </c>
      <c r="L137" s="135">
        <f t="shared" si="54"/>
        <v>0</v>
      </c>
      <c r="M137" s="187"/>
      <c r="N137" s="168">
        <f t="shared" si="38"/>
        <v>0</v>
      </c>
      <c r="O137" s="187"/>
      <c r="P137" s="135">
        <f t="shared" ref="P137:P142" si="55">P144+P151</f>
        <v>82.6</v>
      </c>
      <c r="R137" s="109"/>
    </row>
    <row r="138" spans="1:18" s="63" customFormat="1" x14ac:dyDescent="0.25">
      <c r="A138" s="452"/>
      <c r="B138" s="477"/>
      <c r="C138" s="531"/>
      <c r="D138" s="185" t="s">
        <v>14</v>
      </c>
      <c r="E138" s="135">
        <f t="shared" si="30"/>
        <v>4750.40056</v>
      </c>
      <c r="F138" s="186">
        <f t="shared" ref="F138:L142" si="56">F145+F152</f>
        <v>584.27727000000004</v>
      </c>
      <c r="G138" s="135">
        <f t="shared" si="56"/>
        <v>548.5</v>
      </c>
      <c r="H138" s="135">
        <f t="shared" si="56"/>
        <v>672.66728999999998</v>
      </c>
      <c r="I138" s="156">
        <f t="shared" si="56"/>
        <v>903.75599999999997</v>
      </c>
      <c r="J138" s="135">
        <f t="shared" si="56"/>
        <v>655</v>
      </c>
      <c r="K138" s="135">
        <f t="shared" si="56"/>
        <v>1386.2</v>
      </c>
      <c r="L138" s="135">
        <f t="shared" si="56"/>
        <v>0</v>
      </c>
      <c r="M138" s="187"/>
      <c r="N138" s="168">
        <f t="shared" si="38"/>
        <v>0.15600000000006276</v>
      </c>
      <c r="O138" s="187"/>
      <c r="P138" s="135">
        <f t="shared" si="55"/>
        <v>903.59999999999991</v>
      </c>
      <c r="R138" s="109"/>
    </row>
    <row r="139" spans="1:18" x14ac:dyDescent="0.25">
      <c r="A139" s="452"/>
      <c r="B139" s="477"/>
      <c r="C139" s="531"/>
      <c r="D139" s="133" t="s">
        <v>15</v>
      </c>
      <c r="E139" s="134">
        <f t="shared" si="30"/>
        <v>398244.15621999989</v>
      </c>
      <c r="F139" s="186">
        <f t="shared" si="56"/>
        <v>41754.897250000002</v>
      </c>
      <c r="G139" s="135">
        <f t="shared" si="56"/>
        <v>46654.758170000001</v>
      </c>
      <c r="H139" s="135">
        <f t="shared" si="56"/>
        <v>44945.429279999997</v>
      </c>
      <c r="I139" s="156">
        <f t="shared" si="56"/>
        <v>47516.791239999897</v>
      </c>
      <c r="J139" s="135">
        <f t="shared" si="56"/>
        <v>35215.843159999997</v>
      </c>
      <c r="K139" s="135">
        <f t="shared" si="56"/>
        <v>26022.348160000001</v>
      </c>
      <c r="L139" s="135">
        <f t="shared" si="56"/>
        <v>156134.08896000002</v>
      </c>
      <c r="M139" s="172"/>
      <c r="N139" s="168">
        <f t="shared" si="38"/>
        <v>2028.8470699998943</v>
      </c>
      <c r="O139" s="172"/>
      <c r="P139" s="135">
        <f t="shared" si="55"/>
        <v>45487.944170000002</v>
      </c>
    </row>
    <row r="140" spans="1:18" ht="30" x14ac:dyDescent="0.25">
      <c r="A140" s="452"/>
      <c r="B140" s="477"/>
      <c r="C140" s="531"/>
      <c r="D140" s="143" t="s">
        <v>94</v>
      </c>
      <c r="E140" s="134">
        <f t="shared" si="30"/>
        <v>0</v>
      </c>
      <c r="F140" s="186">
        <f t="shared" si="56"/>
        <v>0</v>
      </c>
      <c r="G140" s="135">
        <f t="shared" si="56"/>
        <v>0</v>
      </c>
      <c r="H140" s="135">
        <f t="shared" si="56"/>
        <v>0</v>
      </c>
      <c r="I140" s="156">
        <f t="shared" si="56"/>
        <v>0</v>
      </c>
      <c r="J140" s="135">
        <f t="shared" si="56"/>
        <v>0</v>
      </c>
      <c r="K140" s="135">
        <f t="shared" si="56"/>
        <v>0</v>
      </c>
      <c r="L140" s="135">
        <f t="shared" si="56"/>
        <v>0</v>
      </c>
      <c r="M140" s="172"/>
      <c r="N140" s="168">
        <f t="shared" si="38"/>
        <v>0</v>
      </c>
      <c r="O140" s="172"/>
      <c r="P140" s="135">
        <f t="shared" si="55"/>
        <v>0</v>
      </c>
    </row>
    <row r="141" spans="1:18" x14ac:dyDescent="0.25">
      <c r="A141" s="452"/>
      <c r="B141" s="477"/>
      <c r="C141" s="531"/>
      <c r="D141" s="143" t="s">
        <v>93</v>
      </c>
      <c r="E141" s="134">
        <f t="shared" si="30"/>
        <v>0</v>
      </c>
      <c r="F141" s="186">
        <f t="shared" si="56"/>
        <v>0</v>
      </c>
      <c r="G141" s="135">
        <f t="shared" si="56"/>
        <v>0</v>
      </c>
      <c r="H141" s="135">
        <f t="shared" si="56"/>
        <v>0</v>
      </c>
      <c r="I141" s="156">
        <f t="shared" si="56"/>
        <v>0</v>
      </c>
      <c r="J141" s="135">
        <f t="shared" si="56"/>
        <v>0</v>
      </c>
      <c r="K141" s="135">
        <f t="shared" si="56"/>
        <v>0</v>
      </c>
      <c r="L141" s="135">
        <f t="shared" si="56"/>
        <v>0</v>
      </c>
      <c r="M141" s="172"/>
      <c r="N141" s="168">
        <f t="shared" si="38"/>
        <v>0</v>
      </c>
      <c r="O141" s="172"/>
      <c r="P141" s="135">
        <f t="shared" si="55"/>
        <v>0</v>
      </c>
    </row>
    <row r="142" spans="1:18" s="146" customFormat="1" x14ac:dyDescent="0.25">
      <c r="A142" s="452"/>
      <c r="B142" s="477"/>
      <c r="C142" s="532"/>
      <c r="D142" s="133" t="s">
        <v>18</v>
      </c>
      <c r="E142" s="134">
        <f t="shared" si="30"/>
        <v>220254.86274288714</v>
      </c>
      <c r="F142" s="186">
        <f t="shared" si="56"/>
        <v>0</v>
      </c>
      <c r="G142" s="135">
        <f t="shared" si="56"/>
        <v>0</v>
      </c>
      <c r="H142" s="135">
        <f t="shared" si="56"/>
        <v>0</v>
      </c>
      <c r="I142" s="156">
        <f t="shared" si="56"/>
        <v>1423.2374400000001</v>
      </c>
      <c r="J142" s="135">
        <f t="shared" si="56"/>
        <v>15814.239869500008</v>
      </c>
      <c r="K142" s="135">
        <f t="shared" si="56"/>
        <v>26775.14826428</v>
      </c>
      <c r="L142" s="135">
        <f t="shared" si="56"/>
        <v>176242.23716910713</v>
      </c>
      <c r="M142" s="172"/>
      <c r="N142" s="168">
        <f t="shared" si="38"/>
        <v>-2627.5030500000003</v>
      </c>
      <c r="O142" s="172"/>
      <c r="P142" s="135">
        <f t="shared" si="55"/>
        <v>4050.7404900000001</v>
      </c>
      <c r="R142" s="154"/>
    </row>
    <row r="143" spans="1:18" x14ac:dyDescent="0.25">
      <c r="A143" s="452"/>
      <c r="B143" s="477"/>
      <c r="C143" s="482" t="s">
        <v>8</v>
      </c>
      <c r="D143" s="125" t="s">
        <v>12</v>
      </c>
      <c r="E143" s="39">
        <f t="shared" si="30"/>
        <v>593794.59701401135</v>
      </c>
      <c r="F143" s="87">
        <f t="shared" ref="F143:H143" si="57">SUM(F144:F149)</f>
        <v>42352.774519999999</v>
      </c>
      <c r="G143" s="39">
        <f t="shared" si="57"/>
        <v>47203.258170000001</v>
      </c>
      <c r="H143" s="39">
        <f t="shared" si="57"/>
        <v>42682.766949999997</v>
      </c>
      <c r="I143" s="149">
        <f>SUM(I144:I149)</f>
        <v>47112.500159999894</v>
      </c>
      <c r="J143" s="39">
        <f t="shared" ref="J143:L143" si="58">SUM(J144:J149)</f>
        <v>48935.64567546</v>
      </c>
      <c r="K143" s="39">
        <f t="shared" si="58"/>
        <v>51335.262881678398</v>
      </c>
      <c r="L143" s="39">
        <f t="shared" si="58"/>
        <v>314172.38865687314</v>
      </c>
      <c r="N143" s="57">
        <f t="shared" si="38"/>
        <v>-598.49998000010964</v>
      </c>
      <c r="P143" s="39">
        <f>SUM(P144:P149)</f>
        <v>47711.000140000004</v>
      </c>
    </row>
    <row r="144" spans="1:18" x14ac:dyDescent="0.25">
      <c r="A144" s="452"/>
      <c r="B144" s="477"/>
      <c r="C144" s="483"/>
      <c r="D144" s="62" t="s">
        <v>13</v>
      </c>
      <c r="E144" s="39">
        <f t="shared" si="30"/>
        <v>312.29999999999995</v>
      </c>
      <c r="F144" s="90">
        <f>13.6</f>
        <v>13.6</v>
      </c>
      <c r="G144" s="44">
        <v>0</v>
      </c>
      <c r="H144" s="44">
        <v>50.9</v>
      </c>
      <c r="I144" s="157">
        <v>82.6</v>
      </c>
      <c r="J144" s="44">
        <v>82.6</v>
      </c>
      <c r="K144" s="44">
        <v>82.6</v>
      </c>
      <c r="L144" s="44">
        <v>0</v>
      </c>
      <c r="N144" s="57">
        <f t="shared" si="38"/>
        <v>0</v>
      </c>
      <c r="P144" s="44">
        <v>82.6</v>
      </c>
    </row>
    <row r="145" spans="1:19" x14ac:dyDescent="0.25">
      <c r="A145" s="452"/>
      <c r="B145" s="477"/>
      <c r="C145" s="483"/>
      <c r="D145" s="62" t="s">
        <v>14</v>
      </c>
      <c r="E145" s="39">
        <f t="shared" si="30"/>
        <v>4750.40056</v>
      </c>
      <c r="F145" s="90">
        <f>584.27727</f>
        <v>584.27727000000004</v>
      </c>
      <c r="G145" s="44">
        <v>548.5</v>
      </c>
      <c r="H145" s="44">
        <f>553.9+118.7+0.06729</f>
        <v>672.66728999999998</v>
      </c>
      <c r="I145" s="157">
        <f>903.6+0.156</f>
        <v>903.75599999999997</v>
      </c>
      <c r="J145" s="44">
        <f>554.2+100.8</f>
        <v>655</v>
      </c>
      <c r="K145" s="44">
        <f>1285.4+100.8</f>
        <v>1386.2</v>
      </c>
      <c r="L145" s="44">
        <v>0</v>
      </c>
      <c r="N145" s="57">
        <f t="shared" si="38"/>
        <v>0.15600000000006276</v>
      </c>
      <c r="O145" s="32" t="s">
        <v>276</v>
      </c>
      <c r="P145" s="44">
        <f>802.8+100.8</f>
        <v>903.59999999999991</v>
      </c>
      <c r="Q145" s="112" t="s">
        <v>274</v>
      </c>
      <c r="R145" s="113">
        <v>0.156</v>
      </c>
      <c r="S145" s="112" t="s">
        <v>165</v>
      </c>
    </row>
    <row r="146" spans="1:19" x14ac:dyDescent="0.25">
      <c r="A146" s="452"/>
      <c r="B146" s="477"/>
      <c r="C146" s="483"/>
      <c r="D146" s="125" t="s">
        <v>15</v>
      </c>
      <c r="E146" s="39">
        <f t="shared" si="30"/>
        <v>387781.25539999991</v>
      </c>
      <c r="F146" s="90">
        <f>41126.98824+362+10.90901+210+45</f>
        <v>41754.897250000002</v>
      </c>
      <c r="G146" s="44">
        <f>46781.68526-126.92709</f>
        <v>46654.758170000001</v>
      </c>
      <c r="H146" s="44">
        <f>44945.42928-2986.22962</f>
        <v>41959.199659999998</v>
      </c>
      <c r="I146" s="188">
        <f>42924.3596499999+1879.48751</f>
        <v>44803.847159999896</v>
      </c>
      <c r="J146" s="44">
        <f>35215.84316-2263.79864</f>
        <v>32952.044519999996</v>
      </c>
      <c r="K146" s="44">
        <f>26022.34816-357.13264</f>
        <v>25665.215520000002</v>
      </c>
      <c r="L146" s="44">
        <f>K146*6</f>
        <v>153991.29312000002</v>
      </c>
      <c r="N146" s="57">
        <f t="shared" si="38"/>
        <v>1879.4875099998899</v>
      </c>
      <c r="O146" s="32" t="s">
        <v>277</v>
      </c>
      <c r="P146" s="44">
        <f>45487.94417-2563.58452</f>
        <v>42924.359650000006</v>
      </c>
      <c r="Q146" s="32" t="s">
        <v>273</v>
      </c>
      <c r="R146" s="105">
        <v>775.48751000000004</v>
      </c>
      <c r="S146" s="32" t="s">
        <v>271</v>
      </c>
    </row>
    <row r="147" spans="1:19" ht="30" x14ac:dyDescent="0.25">
      <c r="A147" s="452"/>
      <c r="B147" s="477"/>
      <c r="C147" s="483"/>
      <c r="D147" s="124" t="s">
        <v>94</v>
      </c>
      <c r="E147" s="39">
        <f t="shared" si="30"/>
        <v>0</v>
      </c>
      <c r="F147" s="44">
        <v>0</v>
      </c>
      <c r="G147" s="44">
        <v>0</v>
      </c>
      <c r="H147" s="44">
        <v>0</v>
      </c>
      <c r="I147" s="149">
        <v>0</v>
      </c>
      <c r="J147" s="44">
        <v>0</v>
      </c>
      <c r="K147" s="44">
        <v>0</v>
      </c>
      <c r="L147" s="44">
        <v>0</v>
      </c>
      <c r="N147" s="57">
        <f t="shared" si="38"/>
        <v>0</v>
      </c>
      <c r="P147" s="44">
        <v>0</v>
      </c>
      <c r="Q147" s="104" t="s">
        <v>272</v>
      </c>
      <c r="R147" s="108">
        <v>804</v>
      </c>
      <c r="S147" s="104" t="s">
        <v>263</v>
      </c>
    </row>
    <row r="148" spans="1:19" ht="15.75" thickBot="1" x14ac:dyDescent="0.3">
      <c r="A148" s="452"/>
      <c r="B148" s="477"/>
      <c r="C148" s="483"/>
      <c r="D148" s="124" t="s">
        <v>93</v>
      </c>
      <c r="E148" s="39">
        <f t="shared" si="30"/>
        <v>0</v>
      </c>
      <c r="F148" s="44">
        <v>0</v>
      </c>
      <c r="G148" s="44">
        <v>0</v>
      </c>
      <c r="H148" s="44">
        <v>0</v>
      </c>
      <c r="I148" s="149">
        <v>0</v>
      </c>
      <c r="J148" s="44">
        <v>0</v>
      </c>
      <c r="K148" s="44">
        <v>0</v>
      </c>
      <c r="L148" s="44">
        <v>0</v>
      </c>
      <c r="N148" s="57">
        <f t="shared" si="38"/>
        <v>0</v>
      </c>
      <c r="O148" s="63"/>
      <c r="P148" s="44">
        <v>0</v>
      </c>
      <c r="Q148" s="32" t="s">
        <v>275</v>
      </c>
      <c r="R148" s="105">
        <v>300</v>
      </c>
      <c r="S148" s="32" t="s">
        <v>263</v>
      </c>
    </row>
    <row r="149" spans="1:19" s="146" customFormat="1" ht="15.75" thickBot="1" x14ac:dyDescent="0.3">
      <c r="A149" s="452"/>
      <c r="B149" s="477"/>
      <c r="C149" s="484"/>
      <c r="D149" s="128" t="s">
        <v>18</v>
      </c>
      <c r="E149" s="129">
        <f t="shared" si="30"/>
        <v>200950.64105401156</v>
      </c>
      <c r="F149" s="130">
        <v>0</v>
      </c>
      <c r="G149" s="130">
        <v>0</v>
      </c>
      <c r="H149" s="189"/>
      <c r="I149" s="174">
        <v>1322.297</v>
      </c>
      <c r="J149" s="142">
        <v>15246.001155460008</v>
      </c>
      <c r="K149" s="142">
        <v>24201.247361678401</v>
      </c>
      <c r="L149" s="145">
        <f>(K143*6-L146)*104%</f>
        <v>160181.09553687315</v>
      </c>
      <c r="N149" s="153">
        <f t="shared" si="38"/>
        <v>-2478.1434899999999</v>
      </c>
      <c r="O149" s="142" t="s">
        <v>288</v>
      </c>
      <c r="P149" s="142">
        <f>4050.74049-250.3</f>
        <v>3800.44049</v>
      </c>
      <c r="R149" s="190">
        <f>SUM(R146:R148)</f>
        <v>1879.4875099999999</v>
      </c>
    </row>
    <row r="150" spans="1:19" x14ac:dyDescent="0.25">
      <c r="A150" s="452"/>
      <c r="B150" s="477"/>
      <c r="C150" s="482" t="s">
        <v>209</v>
      </c>
      <c r="D150" s="125" t="s">
        <v>12</v>
      </c>
      <c r="E150" s="39">
        <f t="shared" si="30"/>
        <v>29767.122508875585</v>
      </c>
      <c r="F150" s="44">
        <f t="shared" ref="F150:H150" si="59">SUM(F151:F156)</f>
        <v>0</v>
      </c>
      <c r="G150" s="44">
        <f t="shared" si="59"/>
        <v>0</v>
      </c>
      <c r="H150" s="44">
        <f t="shared" si="59"/>
        <v>2986.2296200000001</v>
      </c>
      <c r="I150" s="149">
        <f>SUM(I151:I156)</f>
        <v>2813.8845199999996</v>
      </c>
      <c r="J150" s="44">
        <f t="shared" ref="J150:L150" si="60">SUM(J151:J156)</f>
        <v>2832.0373540400001</v>
      </c>
      <c r="K150" s="44">
        <f t="shared" si="60"/>
        <v>2931.0335426016004</v>
      </c>
      <c r="L150" s="44">
        <f t="shared" si="60"/>
        <v>18203.937472233985</v>
      </c>
      <c r="N150" s="57">
        <f t="shared" si="38"/>
        <v>0</v>
      </c>
      <c r="O150" s="63"/>
      <c r="P150" s="44">
        <f>SUM(P151:P156)</f>
        <v>2813.8845200000001</v>
      </c>
    </row>
    <row r="151" spans="1:19" x14ac:dyDescent="0.25">
      <c r="A151" s="452"/>
      <c r="B151" s="477"/>
      <c r="C151" s="483"/>
      <c r="D151" s="62" t="s">
        <v>13</v>
      </c>
      <c r="E151" s="39">
        <f t="shared" si="30"/>
        <v>0</v>
      </c>
      <c r="F151" s="44"/>
      <c r="G151" s="44"/>
      <c r="H151" s="78"/>
      <c r="I151" s="177"/>
      <c r="J151" s="42"/>
      <c r="K151" s="42"/>
      <c r="L151" s="80"/>
      <c r="N151" s="57">
        <f t="shared" si="38"/>
        <v>0</v>
      </c>
      <c r="P151" s="42"/>
    </row>
    <row r="152" spans="1:19" x14ac:dyDescent="0.25">
      <c r="A152" s="452"/>
      <c r="B152" s="477"/>
      <c r="C152" s="483"/>
      <c r="D152" s="62" t="s">
        <v>14</v>
      </c>
      <c r="E152" s="39">
        <f t="shared" si="30"/>
        <v>0</v>
      </c>
      <c r="F152" s="44"/>
      <c r="G152" s="44"/>
      <c r="H152" s="78"/>
      <c r="I152" s="177"/>
      <c r="J152" s="42"/>
      <c r="K152" s="42"/>
      <c r="L152" s="80"/>
      <c r="N152" s="57">
        <f t="shared" si="38"/>
        <v>0</v>
      </c>
      <c r="P152" s="42"/>
    </row>
    <row r="153" spans="1:19" x14ac:dyDescent="0.25">
      <c r="A153" s="452"/>
      <c r="B153" s="477"/>
      <c r="C153" s="483"/>
      <c r="D153" s="125" t="s">
        <v>15</v>
      </c>
      <c r="E153" s="39">
        <f t="shared" si="30"/>
        <v>10462.900819999999</v>
      </c>
      <c r="F153" s="44"/>
      <c r="G153" s="44"/>
      <c r="H153" s="78">
        <v>2986.2296200000001</v>
      </c>
      <c r="I153" s="178">
        <f>2563.58452+149.35956</f>
        <v>2712.9440799999998</v>
      </c>
      <c r="J153" s="42">
        <v>2263.79864</v>
      </c>
      <c r="K153" s="42">
        <v>357.13263999999998</v>
      </c>
      <c r="L153" s="80">
        <f>K153*6</f>
        <v>2142.7958399999998</v>
      </c>
      <c r="N153" s="57">
        <f t="shared" si="38"/>
        <v>149.35955999999987</v>
      </c>
      <c r="P153" s="42">
        <v>2563.5845199999999</v>
      </c>
      <c r="Q153" s="32" t="s">
        <v>269</v>
      </c>
      <c r="R153" s="105">
        <v>149.35955999999999</v>
      </c>
      <c r="S153" s="32" t="s">
        <v>252</v>
      </c>
    </row>
    <row r="154" spans="1:19" ht="30" x14ac:dyDescent="0.25">
      <c r="A154" s="452"/>
      <c r="B154" s="477"/>
      <c r="C154" s="483"/>
      <c r="D154" s="124" t="s">
        <v>94</v>
      </c>
      <c r="E154" s="39">
        <f t="shared" si="30"/>
        <v>0</v>
      </c>
      <c r="F154" s="44"/>
      <c r="G154" s="44"/>
      <c r="H154" s="78"/>
      <c r="I154" s="177"/>
      <c r="J154" s="42"/>
      <c r="K154" s="42"/>
      <c r="L154" s="80"/>
      <c r="N154" s="57">
        <f t="shared" si="38"/>
        <v>0</v>
      </c>
      <c r="P154" s="42"/>
    </row>
    <row r="155" spans="1:19" x14ac:dyDescent="0.25">
      <c r="A155" s="452"/>
      <c r="B155" s="477"/>
      <c r="C155" s="483"/>
      <c r="D155" s="124" t="s">
        <v>93</v>
      </c>
      <c r="E155" s="39">
        <f t="shared" si="30"/>
        <v>0</v>
      </c>
      <c r="F155" s="44"/>
      <c r="G155" s="44"/>
      <c r="H155" s="78"/>
      <c r="I155" s="177"/>
      <c r="J155" s="42"/>
      <c r="K155" s="42"/>
      <c r="L155" s="80"/>
      <c r="N155" s="57">
        <f t="shared" si="38"/>
        <v>0</v>
      </c>
      <c r="P155" s="42"/>
    </row>
    <row r="156" spans="1:19" s="146" customFormat="1" x14ac:dyDescent="0.25">
      <c r="A156" s="453"/>
      <c r="B156" s="478"/>
      <c r="C156" s="484"/>
      <c r="D156" s="128" t="s">
        <v>18</v>
      </c>
      <c r="E156" s="129">
        <f t="shared" si="30"/>
        <v>19304.221688875587</v>
      </c>
      <c r="F156" s="130"/>
      <c r="G156" s="130"/>
      <c r="H156" s="191"/>
      <c r="I156" s="179">
        <f>250.3-149.35956</f>
        <v>100.94044000000002</v>
      </c>
      <c r="J156" s="180">
        <v>568.23871403999999</v>
      </c>
      <c r="K156" s="180">
        <v>2573.9009026016006</v>
      </c>
      <c r="L156" s="145">
        <f>(K150*6-L153)*104%</f>
        <v>16061.141632233986</v>
      </c>
      <c r="N156" s="153">
        <f t="shared" si="38"/>
        <v>-149.35955999999999</v>
      </c>
      <c r="O156" s="192" t="s">
        <v>288</v>
      </c>
      <c r="P156" s="182">
        <v>250.3</v>
      </c>
      <c r="R156" s="154"/>
    </row>
    <row r="157" spans="1:19" x14ac:dyDescent="0.25">
      <c r="A157" s="451" t="s">
        <v>126</v>
      </c>
      <c r="B157" s="470" t="s">
        <v>198</v>
      </c>
      <c r="C157" s="460" t="s">
        <v>128</v>
      </c>
      <c r="D157" s="125" t="s">
        <v>12</v>
      </c>
      <c r="E157" s="39">
        <f t="shared" si="30"/>
        <v>250</v>
      </c>
      <c r="F157" s="39">
        <f t="shared" ref="F157:H157" si="61">SUM(F158:F163)</f>
        <v>0</v>
      </c>
      <c r="G157" s="39">
        <f t="shared" si="61"/>
        <v>50</v>
      </c>
      <c r="H157" s="45">
        <f t="shared" si="61"/>
        <v>50</v>
      </c>
      <c r="I157" s="161">
        <f>SUM(I158:I163)</f>
        <v>50</v>
      </c>
      <c r="J157" s="45">
        <f t="shared" ref="J157:L157" si="62">SUM(J158:J163)</f>
        <v>50</v>
      </c>
      <c r="K157" s="45">
        <f t="shared" si="62"/>
        <v>50</v>
      </c>
      <c r="L157" s="39">
        <f t="shared" si="62"/>
        <v>0</v>
      </c>
      <c r="N157" s="57">
        <f t="shared" si="38"/>
        <v>0</v>
      </c>
      <c r="P157" s="45">
        <f>SUM(P158:P163)</f>
        <v>50</v>
      </c>
    </row>
    <row r="158" spans="1:19" x14ac:dyDescent="0.25">
      <c r="A158" s="452"/>
      <c r="B158" s="471"/>
      <c r="C158" s="460"/>
      <c r="D158" s="125" t="s">
        <v>13</v>
      </c>
      <c r="E158" s="39">
        <f t="shared" si="30"/>
        <v>0</v>
      </c>
      <c r="F158" s="39">
        <v>0</v>
      </c>
      <c r="G158" s="39">
        <v>0</v>
      </c>
      <c r="H158" s="39">
        <v>0</v>
      </c>
      <c r="I158" s="149">
        <v>0</v>
      </c>
      <c r="J158" s="39">
        <v>0</v>
      </c>
      <c r="K158" s="39">
        <v>0</v>
      </c>
      <c r="L158" s="39">
        <v>0</v>
      </c>
      <c r="N158" s="57">
        <f t="shared" si="38"/>
        <v>0</v>
      </c>
      <c r="P158" s="39">
        <v>0</v>
      </c>
    </row>
    <row r="159" spans="1:19" x14ac:dyDescent="0.25">
      <c r="A159" s="452"/>
      <c r="B159" s="471"/>
      <c r="C159" s="460"/>
      <c r="D159" s="125" t="s">
        <v>14</v>
      </c>
      <c r="E159" s="39">
        <f t="shared" si="30"/>
        <v>0</v>
      </c>
      <c r="F159" s="39">
        <v>0</v>
      </c>
      <c r="G159" s="39">
        <v>0</v>
      </c>
      <c r="H159" s="39">
        <v>0</v>
      </c>
      <c r="I159" s="149">
        <v>0</v>
      </c>
      <c r="J159" s="39">
        <v>0</v>
      </c>
      <c r="K159" s="39">
        <v>0</v>
      </c>
      <c r="L159" s="39">
        <v>0</v>
      </c>
      <c r="N159" s="57">
        <f t="shared" ref="N159:N222" si="63">I159-P159</f>
        <v>0</v>
      </c>
      <c r="P159" s="39">
        <v>0</v>
      </c>
    </row>
    <row r="160" spans="1:19" x14ac:dyDescent="0.25">
      <c r="A160" s="452"/>
      <c r="B160" s="471"/>
      <c r="C160" s="460"/>
      <c r="D160" s="125" t="s">
        <v>15</v>
      </c>
      <c r="E160" s="39">
        <f t="shared" si="30"/>
        <v>250</v>
      </c>
      <c r="F160" s="39">
        <v>0</v>
      </c>
      <c r="G160" s="39">
        <v>50</v>
      </c>
      <c r="H160" s="39">
        <v>50</v>
      </c>
      <c r="I160" s="149">
        <v>50</v>
      </c>
      <c r="J160" s="39">
        <v>50</v>
      </c>
      <c r="K160" s="39">
        <v>50</v>
      </c>
      <c r="L160" s="39">
        <v>0</v>
      </c>
      <c r="N160" s="57">
        <f t="shared" si="63"/>
        <v>0</v>
      </c>
      <c r="O160" s="32" t="s">
        <v>247</v>
      </c>
      <c r="P160" s="39">
        <v>50</v>
      </c>
    </row>
    <row r="161" spans="1:19" ht="30" x14ac:dyDescent="0.25">
      <c r="A161" s="452"/>
      <c r="B161" s="471"/>
      <c r="C161" s="460"/>
      <c r="D161" s="124" t="s">
        <v>94</v>
      </c>
      <c r="E161" s="39">
        <f t="shared" si="30"/>
        <v>0</v>
      </c>
      <c r="F161" s="39">
        <v>0</v>
      </c>
      <c r="G161" s="39">
        <v>0</v>
      </c>
      <c r="H161" s="39">
        <v>0</v>
      </c>
      <c r="I161" s="149">
        <v>0</v>
      </c>
      <c r="J161" s="39">
        <v>0</v>
      </c>
      <c r="K161" s="39">
        <v>0</v>
      </c>
      <c r="L161" s="39">
        <v>0</v>
      </c>
      <c r="N161" s="57">
        <f t="shared" si="63"/>
        <v>0</v>
      </c>
      <c r="P161" s="39">
        <v>0</v>
      </c>
    </row>
    <row r="162" spans="1:19" x14ac:dyDescent="0.25">
      <c r="A162" s="452"/>
      <c r="B162" s="471"/>
      <c r="C162" s="460"/>
      <c r="D162" s="124" t="s">
        <v>93</v>
      </c>
      <c r="E162" s="39">
        <f t="shared" si="30"/>
        <v>0</v>
      </c>
      <c r="F162" s="39">
        <v>0</v>
      </c>
      <c r="G162" s="39">
        <v>0</v>
      </c>
      <c r="H162" s="39">
        <v>0</v>
      </c>
      <c r="I162" s="149">
        <v>0</v>
      </c>
      <c r="J162" s="39">
        <v>0</v>
      </c>
      <c r="K162" s="39">
        <v>0</v>
      </c>
      <c r="L162" s="39">
        <v>0</v>
      </c>
      <c r="N162" s="57">
        <f t="shared" si="63"/>
        <v>0</v>
      </c>
      <c r="P162" s="39">
        <v>0</v>
      </c>
    </row>
    <row r="163" spans="1:19" s="146" customFormat="1" x14ac:dyDescent="0.25">
      <c r="A163" s="453"/>
      <c r="B163" s="472"/>
      <c r="C163" s="460"/>
      <c r="D163" s="128" t="s">
        <v>18</v>
      </c>
      <c r="E163" s="129">
        <f t="shared" si="30"/>
        <v>0</v>
      </c>
      <c r="F163" s="129">
        <v>0</v>
      </c>
      <c r="G163" s="129">
        <v>0</v>
      </c>
      <c r="H163" s="129">
        <v>0</v>
      </c>
      <c r="I163" s="152">
        <v>0</v>
      </c>
      <c r="J163" s="129">
        <v>0</v>
      </c>
      <c r="K163" s="129">
        <v>0</v>
      </c>
      <c r="L163" s="129">
        <v>0</v>
      </c>
      <c r="N163" s="153">
        <f t="shared" si="63"/>
        <v>0</v>
      </c>
      <c r="P163" s="129">
        <v>0</v>
      </c>
      <c r="R163" s="154"/>
    </row>
    <row r="164" spans="1:19" s="165" customFormat="1" x14ac:dyDescent="0.25">
      <c r="A164" s="518" t="s">
        <v>127</v>
      </c>
      <c r="B164" s="519"/>
      <c r="C164" s="520"/>
      <c r="D164" s="128" t="s">
        <v>12</v>
      </c>
      <c r="E164" s="129">
        <f t="shared" si="30"/>
        <v>4420639.5453396253</v>
      </c>
      <c r="F164" s="162">
        <f t="shared" ref="F164:H164" si="64">SUM(F165:F170)</f>
        <v>304110.96789000003</v>
      </c>
      <c r="G164" s="129">
        <f t="shared" si="64"/>
        <v>330577.97645000002</v>
      </c>
      <c r="H164" s="129">
        <f t="shared" si="64"/>
        <v>313702.0514</v>
      </c>
      <c r="I164" s="152">
        <f>SUM(I165:I170)</f>
        <v>369342.91828999983</v>
      </c>
      <c r="J164" s="129">
        <f t="shared" ref="J164:L164" si="65">SUM(J165:J170)</f>
        <v>374801.46281174</v>
      </c>
      <c r="K164" s="129">
        <f t="shared" si="65"/>
        <v>383382.03145340958</v>
      </c>
      <c r="L164" s="129">
        <f t="shared" si="65"/>
        <v>2344722.1370444759</v>
      </c>
      <c r="N164" s="153">
        <f t="shared" si="63"/>
        <v>577.68373999977484</v>
      </c>
      <c r="P164" s="129">
        <f>SUM(P165:P170)</f>
        <v>368765.23455000005</v>
      </c>
      <c r="R164" s="166"/>
    </row>
    <row r="165" spans="1:19" s="165" customFormat="1" x14ac:dyDescent="0.25">
      <c r="A165" s="521"/>
      <c r="B165" s="522"/>
      <c r="C165" s="523"/>
      <c r="D165" s="128" t="s">
        <v>13</v>
      </c>
      <c r="E165" s="129">
        <f t="shared" si="30"/>
        <v>312.29999999999995</v>
      </c>
      <c r="F165" s="162">
        <f t="shared" ref="F165:L170" si="66">F81+F88+F95+F130+F137+F158</f>
        <v>13.6</v>
      </c>
      <c r="G165" s="129">
        <f t="shared" si="66"/>
        <v>0</v>
      </c>
      <c r="H165" s="129">
        <f t="shared" si="66"/>
        <v>50.9</v>
      </c>
      <c r="I165" s="152">
        <f t="shared" si="66"/>
        <v>82.6</v>
      </c>
      <c r="J165" s="129">
        <f t="shared" si="66"/>
        <v>82.6</v>
      </c>
      <c r="K165" s="129">
        <f t="shared" si="66"/>
        <v>82.6</v>
      </c>
      <c r="L165" s="129">
        <f t="shared" si="66"/>
        <v>0</v>
      </c>
      <c r="N165" s="153">
        <f t="shared" si="63"/>
        <v>0</v>
      </c>
      <c r="P165" s="129">
        <f t="shared" ref="P165:P170" si="67">P81+P88+P95+P130+P137+P158</f>
        <v>82.6</v>
      </c>
      <c r="R165" s="166"/>
    </row>
    <row r="166" spans="1:19" s="165" customFormat="1" x14ac:dyDescent="0.25">
      <c r="A166" s="521"/>
      <c r="B166" s="522"/>
      <c r="C166" s="523"/>
      <c r="D166" s="128" t="s">
        <v>14</v>
      </c>
      <c r="E166" s="129">
        <f t="shared" si="30"/>
        <v>5872.9005599999991</v>
      </c>
      <c r="F166" s="162">
        <f t="shared" si="66"/>
        <v>914.27727000000004</v>
      </c>
      <c r="G166" s="129">
        <f t="shared" si="66"/>
        <v>691.5</v>
      </c>
      <c r="H166" s="129">
        <f t="shared" si="66"/>
        <v>672.66728999999998</v>
      </c>
      <c r="I166" s="152">
        <f t="shared" si="66"/>
        <v>1553.2559999999999</v>
      </c>
      <c r="J166" s="129">
        <f t="shared" si="66"/>
        <v>655</v>
      </c>
      <c r="K166" s="129">
        <f t="shared" si="66"/>
        <v>1386.2</v>
      </c>
      <c r="L166" s="129">
        <f t="shared" si="66"/>
        <v>0</v>
      </c>
      <c r="N166" s="153">
        <f t="shared" si="63"/>
        <v>649.65599999999995</v>
      </c>
      <c r="P166" s="129">
        <f t="shared" si="67"/>
        <v>903.59999999999991</v>
      </c>
      <c r="R166" s="166"/>
    </row>
    <row r="167" spans="1:19" s="165" customFormat="1" x14ac:dyDescent="0.25">
      <c r="A167" s="521"/>
      <c r="B167" s="522"/>
      <c r="C167" s="523"/>
      <c r="D167" s="128" t="s">
        <v>15</v>
      </c>
      <c r="E167" s="129">
        <f t="shared" si="30"/>
        <v>2864507.8594200001</v>
      </c>
      <c r="F167" s="162">
        <f t="shared" si="66"/>
        <v>303183.09062000003</v>
      </c>
      <c r="G167" s="129">
        <f t="shared" si="66"/>
        <v>329886.47645000002</v>
      </c>
      <c r="H167" s="129">
        <f t="shared" si="66"/>
        <v>312978.48411000002</v>
      </c>
      <c r="I167" s="152">
        <f t="shared" si="66"/>
        <v>331508.33907999989</v>
      </c>
      <c r="J167" s="129">
        <f t="shared" si="66"/>
        <v>208200.74176999999</v>
      </c>
      <c r="K167" s="129">
        <f t="shared" si="66"/>
        <v>197007.24677</v>
      </c>
      <c r="L167" s="129">
        <f t="shared" si="66"/>
        <v>1181743.48062</v>
      </c>
      <c r="N167" s="153">
        <f t="shared" si="63"/>
        <v>23469.440849999839</v>
      </c>
      <c r="P167" s="129">
        <f t="shared" si="67"/>
        <v>308038.89823000005</v>
      </c>
      <c r="R167" s="166">
        <f>I165+I166+I167</f>
        <v>333144.19507999986</v>
      </c>
      <c r="S167" s="165" t="s">
        <v>285</v>
      </c>
    </row>
    <row r="168" spans="1:19" s="165" customFormat="1" ht="30" x14ac:dyDescent="0.25">
      <c r="A168" s="521"/>
      <c r="B168" s="522"/>
      <c r="C168" s="523"/>
      <c r="D168" s="132" t="s">
        <v>94</v>
      </c>
      <c r="E168" s="129">
        <f t="shared" si="30"/>
        <v>0</v>
      </c>
      <c r="F168" s="129">
        <f t="shared" si="66"/>
        <v>0</v>
      </c>
      <c r="G168" s="129">
        <f t="shared" si="66"/>
        <v>0</v>
      </c>
      <c r="H168" s="129">
        <f t="shared" si="66"/>
        <v>0</v>
      </c>
      <c r="I168" s="152">
        <f t="shared" si="66"/>
        <v>0</v>
      </c>
      <c r="J168" s="129">
        <f t="shared" si="66"/>
        <v>0</v>
      </c>
      <c r="K168" s="129">
        <f t="shared" si="66"/>
        <v>0</v>
      </c>
      <c r="L168" s="129">
        <f t="shared" si="66"/>
        <v>0</v>
      </c>
      <c r="N168" s="153">
        <f t="shared" si="63"/>
        <v>0</v>
      </c>
      <c r="P168" s="129">
        <f t="shared" si="67"/>
        <v>0</v>
      </c>
      <c r="R168" s="166">
        <v>333144.19507999998</v>
      </c>
      <c r="S168" s="165" t="s">
        <v>284</v>
      </c>
    </row>
    <row r="169" spans="1:19" s="165" customFormat="1" x14ac:dyDescent="0.25">
      <c r="A169" s="521"/>
      <c r="B169" s="522"/>
      <c r="C169" s="523"/>
      <c r="D169" s="132" t="s">
        <v>93</v>
      </c>
      <c r="E169" s="129">
        <f t="shared" si="30"/>
        <v>0</v>
      </c>
      <c r="F169" s="129">
        <f t="shared" si="66"/>
        <v>0</v>
      </c>
      <c r="G169" s="129">
        <f t="shared" si="66"/>
        <v>0</v>
      </c>
      <c r="H169" s="129">
        <f t="shared" si="66"/>
        <v>0</v>
      </c>
      <c r="I169" s="152">
        <f t="shared" si="66"/>
        <v>0</v>
      </c>
      <c r="J169" s="129">
        <f t="shared" si="66"/>
        <v>0</v>
      </c>
      <c r="K169" s="129">
        <f t="shared" si="66"/>
        <v>0</v>
      </c>
      <c r="L169" s="129">
        <f t="shared" si="66"/>
        <v>0</v>
      </c>
      <c r="N169" s="153">
        <f t="shared" si="63"/>
        <v>0</v>
      </c>
      <c r="P169" s="129">
        <f t="shared" si="67"/>
        <v>0</v>
      </c>
      <c r="R169" s="166">
        <f>R167-R168</f>
        <v>0</v>
      </c>
      <c r="S169" s="165" t="s">
        <v>286</v>
      </c>
    </row>
    <row r="170" spans="1:19" s="167" customFormat="1" x14ac:dyDescent="0.25">
      <c r="A170" s="524"/>
      <c r="B170" s="525"/>
      <c r="C170" s="526"/>
      <c r="D170" s="133" t="s">
        <v>18</v>
      </c>
      <c r="E170" s="134">
        <f t="shared" si="30"/>
        <v>1549946.4853596254</v>
      </c>
      <c r="F170" s="134">
        <f t="shared" si="66"/>
        <v>0</v>
      </c>
      <c r="G170" s="134">
        <f t="shared" si="66"/>
        <v>0</v>
      </c>
      <c r="H170" s="134">
        <f t="shared" si="66"/>
        <v>0</v>
      </c>
      <c r="I170" s="156">
        <f t="shared" si="66"/>
        <v>36198.723209999996</v>
      </c>
      <c r="J170" s="134">
        <f t="shared" si="66"/>
        <v>165863.12104174003</v>
      </c>
      <c r="K170" s="134">
        <f t="shared" si="66"/>
        <v>184905.9846834096</v>
      </c>
      <c r="L170" s="134">
        <f t="shared" si="66"/>
        <v>1162978.6564244758</v>
      </c>
      <c r="N170" s="168">
        <f t="shared" si="63"/>
        <v>-23541.413110000009</v>
      </c>
      <c r="P170" s="134">
        <f t="shared" si="67"/>
        <v>59740.136320000005</v>
      </c>
      <c r="R170" s="169">
        <f>R169-R102</f>
        <v>4786.5339999999997</v>
      </c>
      <c r="S170" s="167" t="s">
        <v>287</v>
      </c>
    </row>
    <row r="171" spans="1:19" s="40" customFormat="1" x14ac:dyDescent="0.25">
      <c r="A171" s="444" t="s">
        <v>152</v>
      </c>
      <c r="B171" s="444"/>
      <c r="C171" s="444"/>
      <c r="D171" s="444"/>
      <c r="E171" s="444"/>
      <c r="F171" s="444"/>
      <c r="G171" s="444"/>
      <c r="H171" s="444"/>
      <c r="I171" s="444"/>
      <c r="J171" s="444"/>
      <c r="K171" s="444"/>
      <c r="L171" s="444"/>
      <c r="N171" s="57">
        <f t="shared" si="63"/>
        <v>0</v>
      </c>
      <c r="R171" s="107"/>
    </row>
    <row r="172" spans="1:19" s="172" customFormat="1" x14ac:dyDescent="0.25">
      <c r="A172" s="451" t="s">
        <v>129</v>
      </c>
      <c r="B172" s="476" t="s">
        <v>199</v>
      </c>
      <c r="C172" s="530" t="s">
        <v>123</v>
      </c>
      <c r="D172" s="133" t="s">
        <v>12</v>
      </c>
      <c r="E172" s="134">
        <f t="shared" ref="E172:E249" si="68">SUM(F172:L172)</f>
        <v>1187341.7986354409</v>
      </c>
      <c r="F172" s="155">
        <f t="shared" ref="F172:H172" si="69">SUM(F173:F178)</f>
        <v>92851.372900000002</v>
      </c>
      <c r="G172" s="134">
        <f t="shared" si="69"/>
        <v>92018.475919999997</v>
      </c>
      <c r="H172" s="134">
        <f t="shared" si="69"/>
        <v>100174.59561</v>
      </c>
      <c r="I172" s="156">
        <f>SUM(I173:I178)</f>
        <v>101462.11838999999</v>
      </c>
      <c r="J172" s="134">
        <f t="shared" ref="J172:L172" si="70">SUM(J173:J178)</f>
        <v>98845.839042570005</v>
      </c>
      <c r="K172" s="134">
        <f t="shared" si="70"/>
        <v>99606.301540672808</v>
      </c>
      <c r="L172" s="134">
        <f t="shared" si="70"/>
        <v>602383.09523219825</v>
      </c>
      <c r="N172" s="168">
        <f t="shared" si="63"/>
        <v>3060.9755099999893</v>
      </c>
      <c r="P172" s="134">
        <f>SUM(P173:P178)</f>
        <v>98401.142879999999</v>
      </c>
      <c r="R172" s="193"/>
    </row>
    <row r="173" spans="1:19" s="172" customFormat="1" x14ac:dyDescent="0.25">
      <c r="A173" s="452"/>
      <c r="B173" s="477"/>
      <c r="C173" s="531"/>
      <c r="D173" s="133" t="s">
        <v>13</v>
      </c>
      <c r="E173" s="134">
        <f t="shared" si="68"/>
        <v>0</v>
      </c>
      <c r="F173" s="134">
        <f>F180+F187</f>
        <v>0</v>
      </c>
      <c r="G173" s="134">
        <f t="shared" ref="G173:L173" si="71">G180+G187</f>
        <v>0</v>
      </c>
      <c r="H173" s="134">
        <f t="shared" si="71"/>
        <v>0</v>
      </c>
      <c r="I173" s="156">
        <f t="shared" si="71"/>
        <v>0</v>
      </c>
      <c r="J173" s="134">
        <f t="shared" si="71"/>
        <v>0</v>
      </c>
      <c r="K173" s="134">
        <f t="shared" si="71"/>
        <v>0</v>
      </c>
      <c r="L173" s="134">
        <f t="shared" si="71"/>
        <v>0</v>
      </c>
      <c r="N173" s="168">
        <f t="shared" si="63"/>
        <v>0</v>
      </c>
      <c r="P173" s="134">
        <f t="shared" ref="P173:P178" si="72">P180+P187</f>
        <v>0</v>
      </c>
      <c r="R173" s="193"/>
    </row>
    <row r="174" spans="1:19" s="172" customFormat="1" x14ac:dyDescent="0.25">
      <c r="A174" s="452"/>
      <c r="B174" s="477"/>
      <c r="C174" s="531"/>
      <c r="D174" s="133" t="s">
        <v>14</v>
      </c>
      <c r="E174" s="134">
        <f t="shared" si="68"/>
        <v>0</v>
      </c>
      <c r="F174" s="134">
        <f t="shared" ref="F174:L178" si="73">F181+F188</f>
        <v>0</v>
      </c>
      <c r="G174" s="134">
        <f t="shared" si="73"/>
        <v>0</v>
      </c>
      <c r="H174" s="134">
        <f t="shared" si="73"/>
        <v>0</v>
      </c>
      <c r="I174" s="156">
        <f t="shared" si="73"/>
        <v>0</v>
      </c>
      <c r="J174" s="134">
        <f t="shared" si="73"/>
        <v>0</v>
      </c>
      <c r="K174" s="134">
        <f t="shared" si="73"/>
        <v>0</v>
      </c>
      <c r="L174" s="134">
        <f t="shared" si="73"/>
        <v>0</v>
      </c>
      <c r="N174" s="168">
        <f t="shared" si="63"/>
        <v>0</v>
      </c>
      <c r="P174" s="134">
        <f t="shared" si="72"/>
        <v>0</v>
      </c>
      <c r="R174" s="193"/>
    </row>
    <row r="175" spans="1:19" s="172" customFormat="1" x14ac:dyDescent="0.25">
      <c r="A175" s="452"/>
      <c r="B175" s="477"/>
      <c r="C175" s="531"/>
      <c r="D175" s="133" t="s">
        <v>15</v>
      </c>
      <c r="E175" s="134">
        <f t="shared" si="68"/>
        <v>1023079.2431600001</v>
      </c>
      <c r="F175" s="155">
        <f t="shared" si="73"/>
        <v>92851.372900000002</v>
      </c>
      <c r="G175" s="134">
        <f t="shared" si="73"/>
        <v>92018.475919999997</v>
      </c>
      <c r="H175" s="134">
        <f t="shared" si="73"/>
        <v>100174.59561</v>
      </c>
      <c r="I175" s="156">
        <f t="shared" si="73"/>
        <v>94269.361009999993</v>
      </c>
      <c r="J175" s="134">
        <f t="shared" si="73"/>
        <v>84925.50159</v>
      </c>
      <c r="K175" s="134">
        <f t="shared" si="73"/>
        <v>79834.276589999994</v>
      </c>
      <c r="L175" s="134">
        <f t="shared" si="73"/>
        <v>479005.65954000002</v>
      </c>
      <c r="N175" s="168">
        <f t="shared" si="63"/>
        <v>600.35941999999341</v>
      </c>
      <c r="P175" s="134">
        <f t="shared" si="72"/>
        <v>93669.00159</v>
      </c>
      <c r="R175" s="193"/>
    </row>
    <row r="176" spans="1:19" s="172" customFormat="1" ht="30" x14ac:dyDescent="0.25">
      <c r="A176" s="452"/>
      <c r="B176" s="477"/>
      <c r="C176" s="531"/>
      <c r="D176" s="143" t="s">
        <v>94</v>
      </c>
      <c r="E176" s="134">
        <f t="shared" si="68"/>
        <v>0</v>
      </c>
      <c r="F176" s="134">
        <f t="shared" si="73"/>
        <v>0</v>
      </c>
      <c r="G176" s="134">
        <f t="shared" si="73"/>
        <v>0</v>
      </c>
      <c r="H176" s="134">
        <f t="shared" si="73"/>
        <v>0</v>
      </c>
      <c r="I176" s="156">
        <f t="shared" si="73"/>
        <v>0</v>
      </c>
      <c r="J176" s="134">
        <f t="shared" si="73"/>
        <v>0</v>
      </c>
      <c r="K176" s="134">
        <f t="shared" si="73"/>
        <v>0</v>
      </c>
      <c r="L176" s="134">
        <f t="shared" si="73"/>
        <v>0</v>
      </c>
      <c r="N176" s="168">
        <f t="shared" si="63"/>
        <v>0</v>
      </c>
      <c r="P176" s="134">
        <f t="shared" si="72"/>
        <v>0</v>
      </c>
      <c r="R176" s="193"/>
    </row>
    <row r="177" spans="1:18" s="172" customFormat="1" x14ac:dyDescent="0.25">
      <c r="A177" s="452"/>
      <c r="B177" s="477"/>
      <c r="C177" s="531"/>
      <c r="D177" s="143" t="s">
        <v>93</v>
      </c>
      <c r="E177" s="134">
        <f t="shared" si="68"/>
        <v>0</v>
      </c>
      <c r="F177" s="134">
        <f t="shared" si="73"/>
        <v>0</v>
      </c>
      <c r="G177" s="134">
        <f t="shared" si="73"/>
        <v>0</v>
      </c>
      <c r="H177" s="134">
        <f t="shared" si="73"/>
        <v>0</v>
      </c>
      <c r="I177" s="156">
        <f t="shared" si="73"/>
        <v>0</v>
      </c>
      <c r="J177" s="134">
        <f t="shared" si="73"/>
        <v>0</v>
      </c>
      <c r="K177" s="134">
        <f t="shared" si="73"/>
        <v>0</v>
      </c>
      <c r="L177" s="134">
        <f t="shared" si="73"/>
        <v>0</v>
      </c>
      <c r="N177" s="168">
        <f t="shared" si="63"/>
        <v>0</v>
      </c>
      <c r="P177" s="134">
        <f t="shared" si="72"/>
        <v>0</v>
      </c>
      <c r="R177" s="193"/>
    </row>
    <row r="178" spans="1:18" s="172" customFormat="1" x14ac:dyDescent="0.25">
      <c r="A178" s="452"/>
      <c r="B178" s="477"/>
      <c r="C178" s="532"/>
      <c r="D178" s="133" t="s">
        <v>18</v>
      </c>
      <c r="E178" s="134">
        <f t="shared" si="68"/>
        <v>164262.5554754411</v>
      </c>
      <c r="F178" s="134">
        <f t="shared" si="73"/>
        <v>0</v>
      </c>
      <c r="G178" s="134">
        <f t="shared" si="73"/>
        <v>0</v>
      </c>
      <c r="H178" s="134">
        <f t="shared" si="73"/>
        <v>0</v>
      </c>
      <c r="I178" s="156">
        <f t="shared" si="73"/>
        <v>7192.7573799999991</v>
      </c>
      <c r="J178" s="134">
        <f t="shared" si="73"/>
        <v>13920.33745257</v>
      </c>
      <c r="K178" s="134">
        <f t="shared" si="73"/>
        <v>19772.024950672807</v>
      </c>
      <c r="L178" s="134">
        <f t="shared" si="73"/>
        <v>123377.43569219828</v>
      </c>
      <c r="N178" s="168">
        <f t="shared" si="63"/>
        <v>2460.6160899999995</v>
      </c>
      <c r="P178" s="134">
        <f t="shared" si="72"/>
        <v>4732.1412899999996</v>
      </c>
      <c r="R178" s="193"/>
    </row>
    <row r="179" spans="1:18" x14ac:dyDescent="0.25">
      <c r="A179" s="452"/>
      <c r="B179" s="477"/>
      <c r="C179" s="448" t="s">
        <v>128</v>
      </c>
      <c r="D179" s="125" t="s">
        <v>12</v>
      </c>
      <c r="E179" s="39">
        <f t="shared" ref="E179:E192" si="74">SUM(F179:L179)</f>
        <v>470742.0671620834</v>
      </c>
      <c r="F179" s="87">
        <f t="shared" ref="F179:H179" si="75">SUM(F180:F185)</f>
        <v>92851.372900000002</v>
      </c>
      <c r="G179" s="39">
        <f t="shared" si="75"/>
        <v>92018.475919999997</v>
      </c>
      <c r="H179" s="39">
        <f t="shared" si="75"/>
        <v>28346.295800000007</v>
      </c>
      <c r="I179" s="149">
        <f>SUM(I180:I185)</f>
        <v>28418.727790000001</v>
      </c>
      <c r="J179" s="39">
        <f t="shared" ref="J179:L179" si="76">SUM(J180:J185)</f>
        <v>28464.12333481</v>
      </c>
      <c r="K179" s="39">
        <f t="shared" si="76"/>
        <v>28569.426059402402</v>
      </c>
      <c r="L179" s="39">
        <f t="shared" si="76"/>
        <v>172073.64535787096</v>
      </c>
      <c r="N179" s="57">
        <f t="shared" si="63"/>
        <v>0</v>
      </c>
      <c r="P179" s="39">
        <f>SUM(P180:P185)</f>
        <v>28418.727789999997</v>
      </c>
    </row>
    <row r="180" spans="1:18" x14ac:dyDescent="0.25">
      <c r="A180" s="452"/>
      <c r="B180" s="477"/>
      <c r="C180" s="449"/>
      <c r="D180" s="125" t="s">
        <v>13</v>
      </c>
      <c r="E180" s="39">
        <f t="shared" si="74"/>
        <v>0</v>
      </c>
      <c r="F180" s="44">
        <v>0</v>
      </c>
      <c r="G180" s="44">
        <v>0</v>
      </c>
      <c r="H180" s="44">
        <v>0</v>
      </c>
      <c r="I180" s="149">
        <v>0</v>
      </c>
      <c r="J180" s="44">
        <v>0</v>
      </c>
      <c r="K180" s="44">
        <v>0</v>
      </c>
      <c r="L180" s="44">
        <v>0</v>
      </c>
      <c r="N180" s="57">
        <f t="shared" si="63"/>
        <v>0</v>
      </c>
      <c r="P180" s="44">
        <v>0</v>
      </c>
    </row>
    <row r="181" spans="1:18" x14ac:dyDescent="0.25">
      <c r="A181" s="452"/>
      <c r="B181" s="477"/>
      <c r="C181" s="449"/>
      <c r="D181" s="125" t="s">
        <v>14</v>
      </c>
      <c r="E181" s="39">
        <f t="shared" si="74"/>
        <v>0</v>
      </c>
      <c r="F181" s="44">
        <v>0</v>
      </c>
      <c r="G181" s="44">
        <v>0</v>
      </c>
      <c r="H181" s="44">
        <v>0</v>
      </c>
      <c r="I181" s="149">
        <v>0</v>
      </c>
      <c r="J181" s="44">
        <v>0</v>
      </c>
      <c r="K181" s="44">
        <v>0</v>
      </c>
      <c r="L181" s="44">
        <v>0</v>
      </c>
      <c r="N181" s="57">
        <f t="shared" si="63"/>
        <v>0</v>
      </c>
      <c r="P181" s="44">
        <v>0</v>
      </c>
    </row>
    <row r="182" spans="1:18" x14ac:dyDescent="0.25">
      <c r="A182" s="452"/>
      <c r="B182" s="477"/>
      <c r="C182" s="449"/>
      <c r="D182" s="125" t="s">
        <v>15</v>
      </c>
      <c r="E182" s="39">
        <f t="shared" si="74"/>
        <v>448479.24159999995</v>
      </c>
      <c r="F182" s="90">
        <f>82544.55051+66.45686+9630.86553+269.5+340</f>
        <v>92851.372900000002</v>
      </c>
      <c r="G182" s="44">
        <f>91909.77592-1-22+2680+637-350.3-2835</f>
        <v>92018.475919999997</v>
      </c>
      <c r="H182" s="44">
        <f>100174.59561-71828.29981</f>
        <v>28346.295800000007</v>
      </c>
      <c r="I182" s="149">
        <f>27399.10522</f>
        <v>27399.105220000001</v>
      </c>
      <c r="J182" s="44">
        <f>84925.50159-57882.39637</f>
        <v>27043.105219999998</v>
      </c>
      <c r="K182" s="44">
        <f>79834.27659-54002.72137</f>
        <v>25831.555219999995</v>
      </c>
      <c r="L182" s="44">
        <f>K182*6</f>
        <v>154989.33131999997</v>
      </c>
      <c r="N182" s="57">
        <f t="shared" si="63"/>
        <v>0</v>
      </c>
      <c r="O182" s="32" t="s">
        <v>247</v>
      </c>
      <c r="P182" s="44">
        <f>93669.00159-66269.89637</f>
        <v>27399.105219999998</v>
      </c>
    </row>
    <row r="183" spans="1:18" ht="30" x14ac:dyDescent="0.25">
      <c r="A183" s="452"/>
      <c r="B183" s="477"/>
      <c r="C183" s="449"/>
      <c r="D183" s="124" t="s">
        <v>94</v>
      </c>
      <c r="E183" s="39">
        <f t="shared" si="74"/>
        <v>0</v>
      </c>
      <c r="F183" s="44">
        <v>0</v>
      </c>
      <c r="G183" s="44">
        <v>0</v>
      </c>
      <c r="H183" s="44">
        <v>0</v>
      </c>
      <c r="I183" s="149">
        <v>0</v>
      </c>
      <c r="J183" s="44">
        <v>0</v>
      </c>
      <c r="K183" s="44">
        <v>0</v>
      </c>
      <c r="L183" s="44">
        <v>0</v>
      </c>
      <c r="N183" s="57">
        <f t="shared" si="63"/>
        <v>0</v>
      </c>
      <c r="P183" s="44">
        <v>0</v>
      </c>
    </row>
    <row r="184" spans="1:18" x14ac:dyDescent="0.25">
      <c r="A184" s="452"/>
      <c r="B184" s="477"/>
      <c r="C184" s="449"/>
      <c r="D184" s="124" t="s">
        <v>93</v>
      </c>
      <c r="E184" s="39">
        <f t="shared" si="74"/>
        <v>0</v>
      </c>
      <c r="F184" s="44">
        <v>0</v>
      </c>
      <c r="G184" s="44">
        <v>0</v>
      </c>
      <c r="H184" s="44">
        <v>0</v>
      </c>
      <c r="I184" s="194">
        <v>0</v>
      </c>
      <c r="J184" s="44">
        <v>0</v>
      </c>
      <c r="K184" s="44">
        <v>0</v>
      </c>
      <c r="L184" s="44">
        <v>0</v>
      </c>
      <c r="N184" s="57">
        <f t="shared" si="63"/>
        <v>0</v>
      </c>
      <c r="P184" s="81">
        <v>0</v>
      </c>
    </row>
    <row r="185" spans="1:18" s="146" customFormat="1" x14ac:dyDescent="0.25">
      <c r="A185" s="452"/>
      <c r="B185" s="477"/>
      <c r="C185" s="450"/>
      <c r="D185" s="128" t="s">
        <v>18</v>
      </c>
      <c r="E185" s="129">
        <f t="shared" si="74"/>
        <v>22262.82556208341</v>
      </c>
      <c r="F185" s="130">
        <v>0</v>
      </c>
      <c r="G185" s="130">
        <v>0</v>
      </c>
      <c r="H185" s="195">
        <v>0</v>
      </c>
      <c r="I185" s="176">
        <f>4732.14129-3712.51872</f>
        <v>1019.6225699999995</v>
      </c>
      <c r="J185" s="180">
        <v>1421.01811481</v>
      </c>
      <c r="K185" s="180">
        <f>(J179-K182)*104%</f>
        <v>2737.8708394024052</v>
      </c>
      <c r="L185" s="145">
        <f>(K179*6-L182)*104%</f>
        <v>17084.314037871005</v>
      </c>
      <c r="N185" s="153">
        <f t="shared" si="63"/>
        <v>0</v>
      </c>
      <c r="O185" s="192"/>
      <c r="P185" s="142">
        <f>4732.14129-3712.51872</f>
        <v>1019.6225699999995</v>
      </c>
      <c r="R185" s="154"/>
    </row>
    <row r="186" spans="1:18" x14ac:dyDescent="0.25">
      <c r="A186" s="452"/>
      <c r="B186" s="477"/>
      <c r="C186" s="448" t="s">
        <v>209</v>
      </c>
      <c r="D186" s="125" t="s">
        <v>12</v>
      </c>
      <c r="E186" s="39">
        <f t="shared" si="74"/>
        <v>716599.73147335765</v>
      </c>
      <c r="F186" s="44">
        <f t="shared" ref="F186:H186" si="77">SUM(F187:F192)</f>
        <v>0</v>
      </c>
      <c r="G186" s="44">
        <f t="shared" si="77"/>
        <v>0</v>
      </c>
      <c r="H186" s="44">
        <f t="shared" si="77"/>
        <v>71828.299809999997</v>
      </c>
      <c r="I186" s="149">
        <f>SUM(I187:I192)</f>
        <v>73043.390599999999</v>
      </c>
      <c r="J186" s="44">
        <f t="shared" ref="J186:L186" si="78">SUM(J187:J192)</f>
        <v>70381.715707759999</v>
      </c>
      <c r="K186" s="44">
        <f t="shared" si="78"/>
        <v>71036.875481270399</v>
      </c>
      <c r="L186" s="44">
        <f t="shared" si="78"/>
        <v>430309.44987432729</v>
      </c>
      <c r="N186" s="57">
        <f t="shared" si="63"/>
        <v>3060.9755100000039</v>
      </c>
      <c r="P186" s="44">
        <f>SUM(P187:P192)</f>
        <v>69982.415089999995</v>
      </c>
    </row>
    <row r="187" spans="1:18" x14ac:dyDescent="0.25">
      <c r="A187" s="452"/>
      <c r="B187" s="477"/>
      <c r="C187" s="449"/>
      <c r="D187" s="125" t="s">
        <v>13</v>
      </c>
      <c r="E187" s="39">
        <f t="shared" si="74"/>
        <v>0</v>
      </c>
      <c r="F187" s="44"/>
      <c r="G187" s="44"/>
      <c r="H187" s="82"/>
      <c r="I187" s="177"/>
      <c r="J187" s="80"/>
      <c r="K187" s="44"/>
      <c r="L187" s="80"/>
      <c r="N187" s="57">
        <f t="shared" si="63"/>
        <v>0</v>
      </c>
      <c r="P187" s="42"/>
    </row>
    <row r="188" spans="1:18" x14ac:dyDescent="0.25">
      <c r="A188" s="452"/>
      <c r="B188" s="477"/>
      <c r="C188" s="449"/>
      <c r="D188" s="125" t="s">
        <v>14</v>
      </c>
      <c r="E188" s="39">
        <f t="shared" si="74"/>
        <v>0</v>
      </c>
      <c r="F188" s="44"/>
      <c r="G188" s="44"/>
      <c r="H188" s="82"/>
      <c r="I188" s="177"/>
      <c r="J188" s="80"/>
      <c r="K188" s="44"/>
      <c r="L188" s="80"/>
      <c r="N188" s="57">
        <f t="shared" si="63"/>
        <v>0</v>
      </c>
      <c r="P188" s="42"/>
    </row>
    <row r="189" spans="1:18" x14ac:dyDescent="0.25">
      <c r="A189" s="452"/>
      <c r="B189" s="477"/>
      <c r="C189" s="449"/>
      <c r="D189" s="125" t="s">
        <v>15</v>
      </c>
      <c r="E189" s="39">
        <f t="shared" si="74"/>
        <v>574600.00156</v>
      </c>
      <c r="F189" s="44"/>
      <c r="G189" s="44"/>
      <c r="H189" s="82">
        <v>71828.299809999997</v>
      </c>
      <c r="I189" s="178">
        <f>66269.89637+600.35942</f>
        <v>66870.255789999996</v>
      </c>
      <c r="J189" s="80">
        <v>57882.396370000002</v>
      </c>
      <c r="K189" s="44">
        <v>54002.721369999999</v>
      </c>
      <c r="L189" s="80">
        <f>K189*6</f>
        <v>324016.32822000002</v>
      </c>
      <c r="N189" s="57">
        <f t="shared" si="63"/>
        <v>600.35941999999341</v>
      </c>
      <c r="O189" s="32" t="s">
        <v>263</v>
      </c>
      <c r="P189" s="42">
        <v>66269.896370000002</v>
      </c>
      <c r="Q189" s="32" t="s">
        <v>278</v>
      </c>
      <c r="R189" s="105">
        <v>600.35942</v>
      </c>
    </row>
    <row r="190" spans="1:18" ht="30" x14ac:dyDescent="0.25">
      <c r="A190" s="452"/>
      <c r="B190" s="477"/>
      <c r="C190" s="449"/>
      <c r="D190" s="124" t="s">
        <v>94</v>
      </c>
      <c r="E190" s="39">
        <f t="shared" si="74"/>
        <v>0</v>
      </c>
      <c r="F190" s="44"/>
      <c r="G190" s="44"/>
      <c r="H190" s="82"/>
      <c r="I190" s="177"/>
      <c r="J190" s="80"/>
      <c r="K190" s="44"/>
      <c r="L190" s="80"/>
      <c r="N190" s="57">
        <f t="shared" si="63"/>
        <v>0</v>
      </c>
      <c r="P190" s="42"/>
    </row>
    <row r="191" spans="1:18" x14ac:dyDescent="0.25">
      <c r="A191" s="452"/>
      <c r="B191" s="477"/>
      <c r="C191" s="449"/>
      <c r="D191" s="124" t="s">
        <v>93</v>
      </c>
      <c r="E191" s="39">
        <f t="shared" si="74"/>
        <v>0</v>
      </c>
      <c r="F191" s="44"/>
      <c r="G191" s="44"/>
      <c r="H191" s="82"/>
      <c r="I191" s="177"/>
      <c r="J191" s="80"/>
      <c r="K191" s="44"/>
      <c r="L191" s="80"/>
      <c r="N191" s="57">
        <f t="shared" si="63"/>
        <v>0</v>
      </c>
      <c r="P191" s="42"/>
    </row>
    <row r="192" spans="1:18" s="146" customFormat="1" x14ac:dyDescent="0.25">
      <c r="A192" s="453"/>
      <c r="B192" s="478"/>
      <c r="C192" s="450"/>
      <c r="D192" s="128" t="s">
        <v>18</v>
      </c>
      <c r="E192" s="129">
        <f t="shared" si="74"/>
        <v>141999.72991335767</v>
      </c>
      <c r="F192" s="130"/>
      <c r="G192" s="130"/>
      <c r="H192" s="195"/>
      <c r="I192" s="196">
        <f>3712.51872+2460.61609</f>
        <v>6173.1348099999996</v>
      </c>
      <c r="J192" s="180">
        <v>12499.31933776</v>
      </c>
      <c r="K192" s="180">
        <f>(J186-K189)*104%</f>
        <v>17034.1541112704</v>
      </c>
      <c r="L192" s="145">
        <f>(K186*6-L189)*104%</f>
        <v>106293.12165432727</v>
      </c>
      <c r="N192" s="153">
        <f t="shared" si="63"/>
        <v>2460.6160899999995</v>
      </c>
      <c r="O192" s="192" t="s">
        <v>290</v>
      </c>
      <c r="P192" s="182">
        <v>3712.51872</v>
      </c>
      <c r="R192" s="154"/>
    </row>
    <row r="193" spans="1:18" x14ac:dyDescent="0.25">
      <c r="A193" s="451" t="s">
        <v>130</v>
      </c>
      <c r="B193" s="470" t="s">
        <v>200</v>
      </c>
      <c r="C193" s="460" t="s">
        <v>128</v>
      </c>
      <c r="D193" s="125" t="s">
        <v>12</v>
      </c>
      <c r="E193" s="39">
        <f t="shared" si="68"/>
        <v>770</v>
      </c>
      <c r="F193" s="44">
        <f t="shared" ref="F193:H193" si="79">SUM(F194:F199)</f>
        <v>0</v>
      </c>
      <c r="G193" s="44">
        <f>SUM(G194:G199)</f>
        <v>70</v>
      </c>
      <c r="H193" s="44">
        <f t="shared" si="79"/>
        <v>70</v>
      </c>
      <c r="I193" s="161">
        <f>SUM(I194:I199)</f>
        <v>70</v>
      </c>
      <c r="J193" s="44">
        <f t="shared" ref="J193:L193" si="80">SUM(J194:J199)</f>
        <v>70</v>
      </c>
      <c r="K193" s="44">
        <f t="shared" si="80"/>
        <v>70</v>
      </c>
      <c r="L193" s="44">
        <f t="shared" si="80"/>
        <v>420</v>
      </c>
      <c r="N193" s="57">
        <f t="shared" si="63"/>
        <v>0</v>
      </c>
      <c r="O193" s="119"/>
      <c r="P193" s="79">
        <f>SUM(P194:P199)</f>
        <v>70</v>
      </c>
    </row>
    <row r="194" spans="1:18" x14ac:dyDescent="0.25">
      <c r="A194" s="452"/>
      <c r="B194" s="471"/>
      <c r="C194" s="460"/>
      <c r="D194" s="125" t="s">
        <v>13</v>
      </c>
      <c r="E194" s="39">
        <f t="shared" si="68"/>
        <v>0</v>
      </c>
      <c r="F194" s="39">
        <v>0</v>
      </c>
      <c r="G194" s="39">
        <v>0</v>
      </c>
      <c r="H194" s="39">
        <v>0</v>
      </c>
      <c r="I194" s="149">
        <v>0</v>
      </c>
      <c r="J194" s="39">
        <v>0</v>
      </c>
      <c r="K194" s="39">
        <v>0</v>
      </c>
      <c r="L194" s="39">
        <v>0</v>
      </c>
      <c r="N194" s="57">
        <f t="shared" si="63"/>
        <v>0</v>
      </c>
      <c r="P194" s="39">
        <v>0</v>
      </c>
    </row>
    <row r="195" spans="1:18" x14ac:dyDescent="0.25">
      <c r="A195" s="452"/>
      <c r="B195" s="471"/>
      <c r="C195" s="460"/>
      <c r="D195" s="125" t="s">
        <v>14</v>
      </c>
      <c r="E195" s="39">
        <f t="shared" si="68"/>
        <v>0</v>
      </c>
      <c r="F195" s="39">
        <v>0</v>
      </c>
      <c r="G195" s="39">
        <v>0</v>
      </c>
      <c r="H195" s="39">
        <v>0</v>
      </c>
      <c r="I195" s="149">
        <v>0</v>
      </c>
      <c r="J195" s="39">
        <v>0</v>
      </c>
      <c r="K195" s="39">
        <v>0</v>
      </c>
      <c r="L195" s="39">
        <v>0</v>
      </c>
      <c r="N195" s="57">
        <f t="shared" si="63"/>
        <v>0</v>
      </c>
      <c r="P195" s="39">
        <v>0</v>
      </c>
    </row>
    <row r="196" spans="1:18" x14ac:dyDescent="0.25">
      <c r="A196" s="452"/>
      <c r="B196" s="471"/>
      <c r="C196" s="460"/>
      <c r="D196" s="125" t="s">
        <v>15</v>
      </c>
      <c r="E196" s="39">
        <f t="shared" si="68"/>
        <v>770</v>
      </c>
      <c r="F196" s="39">
        <v>0</v>
      </c>
      <c r="G196" s="39">
        <v>70</v>
      </c>
      <c r="H196" s="39">
        <v>70</v>
      </c>
      <c r="I196" s="149">
        <v>70</v>
      </c>
      <c r="J196" s="39">
        <v>70</v>
      </c>
      <c r="K196" s="39">
        <v>70</v>
      </c>
      <c r="L196" s="39">
        <f>K196*6</f>
        <v>420</v>
      </c>
      <c r="N196" s="57">
        <f t="shared" si="63"/>
        <v>0</v>
      </c>
      <c r="P196" s="39">
        <v>70</v>
      </c>
    </row>
    <row r="197" spans="1:18" ht="30" x14ac:dyDescent="0.25">
      <c r="A197" s="452"/>
      <c r="B197" s="471"/>
      <c r="C197" s="460"/>
      <c r="D197" s="124" t="s">
        <v>94</v>
      </c>
      <c r="E197" s="39">
        <f t="shared" si="68"/>
        <v>0</v>
      </c>
      <c r="F197" s="39">
        <v>0</v>
      </c>
      <c r="G197" s="39">
        <v>0</v>
      </c>
      <c r="H197" s="39">
        <v>0</v>
      </c>
      <c r="I197" s="149">
        <v>0</v>
      </c>
      <c r="J197" s="39">
        <v>0</v>
      </c>
      <c r="K197" s="39">
        <v>0</v>
      </c>
      <c r="L197" s="39">
        <v>0</v>
      </c>
      <c r="N197" s="57">
        <f t="shared" si="63"/>
        <v>0</v>
      </c>
      <c r="P197" s="39">
        <v>0</v>
      </c>
    </row>
    <row r="198" spans="1:18" x14ac:dyDescent="0.25">
      <c r="A198" s="452"/>
      <c r="B198" s="471"/>
      <c r="C198" s="460"/>
      <c r="D198" s="124" t="s">
        <v>93</v>
      </c>
      <c r="E198" s="39">
        <f t="shared" si="68"/>
        <v>0</v>
      </c>
      <c r="F198" s="39">
        <v>0</v>
      </c>
      <c r="G198" s="39">
        <v>0</v>
      </c>
      <c r="H198" s="39">
        <v>0</v>
      </c>
      <c r="I198" s="149">
        <v>0</v>
      </c>
      <c r="J198" s="39">
        <v>0</v>
      </c>
      <c r="K198" s="39">
        <v>0</v>
      </c>
      <c r="L198" s="39">
        <v>0</v>
      </c>
      <c r="N198" s="57">
        <f t="shared" si="63"/>
        <v>0</v>
      </c>
      <c r="P198" s="39">
        <v>0</v>
      </c>
    </row>
    <row r="199" spans="1:18" s="146" customFormat="1" x14ac:dyDescent="0.25">
      <c r="A199" s="453"/>
      <c r="B199" s="472"/>
      <c r="C199" s="460"/>
      <c r="D199" s="128" t="s">
        <v>18</v>
      </c>
      <c r="E199" s="129">
        <f t="shared" si="68"/>
        <v>0</v>
      </c>
      <c r="F199" s="129">
        <v>0</v>
      </c>
      <c r="G199" s="129">
        <v>0</v>
      </c>
      <c r="H199" s="129">
        <v>0</v>
      </c>
      <c r="I199" s="152">
        <v>0</v>
      </c>
      <c r="J199" s="129">
        <v>0</v>
      </c>
      <c r="K199" s="129">
        <v>0</v>
      </c>
      <c r="L199" s="129">
        <v>0</v>
      </c>
      <c r="N199" s="153">
        <f t="shared" si="63"/>
        <v>0</v>
      </c>
      <c r="P199" s="129">
        <v>0</v>
      </c>
      <c r="R199" s="154"/>
    </row>
    <row r="200" spans="1:18" s="146" customFormat="1" x14ac:dyDescent="0.25">
      <c r="A200" s="461" t="s">
        <v>131</v>
      </c>
      <c r="B200" s="462"/>
      <c r="C200" s="463"/>
      <c r="D200" s="128" t="s">
        <v>12</v>
      </c>
      <c r="E200" s="129">
        <f t="shared" si="68"/>
        <v>1188111.7986354409</v>
      </c>
      <c r="F200" s="162">
        <f t="shared" ref="F200:H200" si="81">SUM(F201:F206)</f>
        <v>92851.372900000002</v>
      </c>
      <c r="G200" s="129">
        <f t="shared" si="81"/>
        <v>92088.475919999997</v>
      </c>
      <c r="H200" s="129">
        <f t="shared" si="81"/>
        <v>100244.59561</v>
      </c>
      <c r="I200" s="152">
        <f>SUM(I201:I206)</f>
        <v>101532.11838999999</v>
      </c>
      <c r="J200" s="129">
        <f t="shared" ref="J200:L200" si="82">SUM(J201:J206)</f>
        <v>98915.839042570005</v>
      </c>
      <c r="K200" s="129">
        <f t="shared" si="82"/>
        <v>99676.301540672808</v>
      </c>
      <c r="L200" s="129">
        <f t="shared" si="82"/>
        <v>602803.09523219825</v>
      </c>
      <c r="N200" s="153">
        <f t="shared" si="63"/>
        <v>3060.9755099999893</v>
      </c>
      <c r="P200" s="129">
        <f>SUM(P201:P206)</f>
        <v>98471.142879999999</v>
      </c>
      <c r="R200" s="154"/>
    </row>
    <row r="201" spans="1:18" s="146" customFormat="1" x14ac:dyDescent="0.25">
      <c r="A201" s="464"/>
      <c r="B201" s="465"/>
      <c r="C201" s="466"/>
      <c r="D201" s="128" t="s">
        <v>13</v>
      </c>
      <c r="E201" s="129">
        <f t="shared" si="68"/>
        <v>0</v>
      </c>
      <c r="F201" s="129">
        <f>F173+F194</f>
        <v>0</v>
      </c>
      <c r="G201" s="129">
        <f t="shared" ref="G201:H201" si="83">G173+G194</f>
        <v>0</v>
      </c>
      <c r="H201" s="129">
        <f t="shared" si="83"/>
        <v>0</v>
      </c>
      <c r="I201" s="152">
        <f>I173+I194</f>
        <v>0</v>
      </c>
      <c r="J201" s="129">
        <f t="shared" ref="J201:L201" si="84">J173+J194</f>
        <v>0</v>
      </c>
      <c r="K201" s="129">
        <f t="shared" si="84"/>
        <v>0</v>
      </c>
      <c r="L201" s="129">
        <f t="shared" si="84"/>
        <v>0</v>
      </c>
      <c r="N201" s="153">
        <f t="shared" si="63"/>
        <v>0</v>
      </c>
      <c r="P201" s="129">
        <f>P173+P194</f>
        <v>0</v>
      </c>
      <c r="R201" s="154"/>
    </row>
    <row r="202" spans="1:18" s="146" customFormat="1" x14ac:dyDescent="0.25">
      <c r="A202" s="464"/>
      <c r="B202" s="465"/>
      <c r="C202" s="466"/>
      <c r="D202" s="128" t="s">
        <v>14</v>
      </c>
      <c r="E202" s="129">
        <f t="shared" si="68"/>
        <v>0</v>
      </c>
      <c r="F202" s="129">
        <f t="shared" ref="F202:L206" si="85">F174+F195</f>
        <v>0</v>
      </c>
      <c r="G202" s="129">
        <f t="shared" si="85"/>
        <v>0</v>
      </c>
      <c r="H202" s="129">
        <f t="shared" si="85"/>
        <v>0</v>
      </c>
      <c r="I202" s="152">
        <f t="shared" si="85"/>
        <v>0</v>
      </c>
      <c r="J202" s="129">
        <f t="shared" si="85"/>
        <v>0</v>
      </c>
      <c r="K202" s="129">
        <f t="shared" si="85"/>
        <v>0</v>
      </c>
      <c r="L202" s="129">
        <f t="shared" si="85"/>
        <v>0</v>
      </c>
      <c r="N202" s="153">
        <f t="shared" si="63"/>
        <v>0</v>
      </c>
      <c r="P202" s="129">
        <f t="shared" ref="P202:P206" si="86">P174+P195</f>
        <v>0</v>
      </c>
      <c r="R202" s="154"/>
    </row>
    <row r="203" spans="1:18" s="146" customFormat="1" x14ac:dyDescent="0.25">
      <c r="A203" s="464"/>
      <c r="B203" s="465"/>
      <c r="C203" s="466"/>
      <c r="D203" s="128" t="s">
        <v>15</v>
      </c>
      <c r="E203" s="129">
        <f t="shared" si="68"/>
        <v>1023849.2431600001</v>
      </c>
      <c r="F203" s="162">
        <f t="shared" si="85"/>
        <v>92851.372900000002</v>
      </c>
      <c r="G203" s="129">
        <f t="shared" si="85"/>
        <v>92088.475919999997</v>
      </c>
      <c r="H203" s="129">
        <f t="shared" si="85"/>
        <v>100244.59561</v>
      </c>
      <c r="I203" s="152">
        <f t="shared" si="85"/>
        <v>94339.361009999993</v>
      </c>
      <c r="J203" s="129">
        <f t="shared" si="85"/>
        <v>84995.50159</v>
      </c>
      <c r="K203" s="129">
        <f t="shared" si="85"/>
        <v>79904.276589999994</v>
      </c>
      <c r="L203" s="129">
        <f t="shared" si="85"/>
        <v>479425.65954000002</v>
      </c>
      <c r="N203" s="153">
        <f t="shared" si="63"/>
        <v>600.35941999999341</v>
      </c>
      <c r="P203" s="129">
        <f t="shared" si="86"/>
        <v>93739.00159</v>
      </c>
      <c r="R203" s="154"/>
    </row>
    <row r="204" spans="1:18" s="146" customFormat="1" ht="30" x14ac:dyDescent="0.25">
      <c r="A204" s="464"/>
      <c r="B204" s="465"/>
      <c r="C204" s="466"/>
      <c r="D204" s="132" t="s">
        <v>94</v>
      </c>
      <c r="E204" s="129">
        <f t="shared" si="68"/>
        <v>0</v>
      </c>
      <c r="F204" s="129">
        <f t="shared" si="85"/>
        <v>0</v>
      </c>
      <c r="G204" s="129">
        <f t="shared" si="85"/>
        <v>0</v>
      </c>
      <c r="H204" s="129">
        <f t="shared" si="85"/>
        <v>0</v>
      </c>
      <c r="I204" s="152">
        <f t="shared" si="85"/>
        <v>0</v>
      </c>
      <c r="J204" s="129">
        <f t="shared" si="85"/>
        <v>0</v>
      </c>
      <c r="K204" s="129">
        <f t="shared" si="85"/>
        <v>0</v>
      </c>
      <c r="L204" s="129">
        <f t="shared" si="85"/>
        <v>0</v>
      </c>
      <c r="N204" s="153">
        <f t="shared" si="63"/>
        <v>0</v>
      </c>
      <c r="P204" s="129">
        <f t="shared" si="86"/>
        <v>0</v>
      </c>
      <c r="R204" s="154"/>
    </row>
    <row r="205" spans="1:18" s="146" customFormat="1" x14ac:dyDescent="0.25">
      <c r="A205" s="464"/>
      <c r="B205" s="465"/>
      <c r="C205" s="466"/>
      <c r="D205" s="132" t="s">
        <v>93</v>
      </c>
      <c r="E205" s="129">
        <f t="shared" si="68"/>
        <v>0</v>
      </c>
      <c r="F205" s="129">
        <f t="shared" si="85"/>
        <v>0</v>
      </c>
      <c r="G205" s="129">
        <f t="shared" si="85"/>
        <v>0</v>
      </c>
      <c r="H205" s="129">
        <f t="shared" si="85"/>
        <v>0</v>
      </c>
      <c r="I205" s="152">
        <f t="shared" si="85"/>
        <v>0</v>
      </c>
      <c r="J205" s="129">
        <f t="shared" si="85"/>
        <v>0</v>
      </c>
      <c r="K205" s="129">
        <f t="shared" si="85"/>
        <v>0</v>
      </c>
      <c r="L205" s="129">
        <f t="shared" si="85"/>
        <v>0</v>
      </c>
      <c r="N205" s="153">
        <f t="shared" si="63"/>
        <v>0</v>
      </c>
      <c r="P205" s="129">
        <f t="shared" si="86"/>
        <v>0</v>
      </c>
      <c r="R205" s="154"/>
    </row>
    <row r="206" spans="1:18" s="172" customFormat="1" x14ac:dyDescent="0.25">
      <c r="A206" s="467"/>
      <c r="B206" s="468"/>
      <c r="C206" s="469"/>
      <c r="D206" s="133" t="s">
        <v>18</v>
      </c>
      <c r="E206" s="134">
        <f t="shared" si="68"/>
        <v>164262.5554754411</v>
      </c>
      <c r="F206" s="134">
        <f t="shared" si="85"/>
        <v>0</v>
      </c>
      <c r="G206" s="134">
        <f t="shared" si="85"/>
        <v>0</v>
      </c>
      <c r="H206" s="134">
        <f t="shared" si="85"/>
        <v>0</v>
      </c>
      <c r="I206" s="156">
        <f t="shared" si="85"/>
        <v>7192.7573799999991</v>
      </c>
      <c r="J206" s="134">
        <f t="shared" si="85"/>
        <v>13920.33745257</v>
      </c>
      <c r="K206" s="134">
        <f t="shared" si="85"/>
        <v>19772.024950672807</v>
      </c>
      <c r="L206" s="134">
        <f t="shared" si="85"/>
        <v>123377.43569219828</v>
      </c>
      <c r="N206" s="168">
        <f t="shared" si="63"/>
        <v>2460.6160899999995</v>
      </c>
      <c r="P206" s="134">
        <f t="shared" si="86"/>
        <v>4732.1412899999996</v>
      </c>
      <c r="R206" s="193"/>
    </row>
    <row r="207" spans="1:18" s="199" customFormat="1" x14ac:dyDescent="0.25">
      <c r="A207" s="533" t="s">
        <v>96</v>
      </c>
      <c r="B207" s="534"/>
      <c r="C207" s="535"/>
      <c r="D207" s="139" t="s">
        <v>12</v>
      </c>
      <c r="E207" s="140">
        <f t="shared" ref="E207" si="87">SUM(F207:L207)</f>
        <v>7135804.4933650661</v>
      </c>
      <c r="F207" s="197">
        <f t="shared" ref="F207:H207" si="88">SUM(F208:F213)</f>
        <v>677622.10574000014</v>
      </c>
      <c r="G207" s="140">
        <f t="shared" si="88"/>
        <v>696859.24146000005</v>
      </c>
      <c r="H207" s="140">
        <f t="shared" si="88"/>
        <v>682112.50141999999</v>
      </c>
      <c r="I207" s="198">
        <f>SUM(I208:I213)</f>
        <v>950642.96961999987</v>
      </c>
      <c r="J207" s="140">
        <f t="shared" ref="J207:L207" si="89">SUM(J208:J213)</f>
        <v>654347.10985431005</v>
      </c>
      <c r="K207" s="140">
        <f t="shared" si="89"/>
        <v>486195.33299408236</v>
      </c>
      <c r="L207" s="140">
        <f t="shared" si="89"/>
        <v>2988025.2322766744</v>
      </c>
      <c r="N207" s="200">
        <f t="shared" si="63"/>
        <v>-29687.207420000108</v>
      </c>
      <c r="P207" s="140">
        <f>SUM(P208:P213)</f>
        <v>980330.17703999998</v>
      </c>
      <c r="R207" s="201"/>
    </row>
    <row r="208" spans="1:18" s="199" customFormat="1" x14ac:dyDescent="0.25">
      <c r="A208" s="536"/>
      <c r="B208" s="537"/>
      <c r="C208" s="538"/>
      <c r="D208" s="139" t="s">
        <v>13</v>
      </c>
      <c r="E208" s="140">
        <f t="shared" si="68"/>
        <v>8432.3000000000011</v>
      </c>
      <c r="F208" s="197">
        <f t="shared" ref="F208:L213" si="90">F73+F165+F201</f>
        <v>13.6</v>
      </c>
      <c r="G208" s="140">
        <f t="shared" si="90"/>
        <v>0</v>
      </c>
      <c r="H208" s="140">
        <f t="shared" si="90"/>
        <v>50.9</v>
      </c>
      <c r="I208" s="198">
        <f t="shared" si="90"/>
        <v>5082.6000000000004</v>
      </c>
      <c r="J208" s="141">
        <f t="shared" si="90"/>
        <v>3202.6</v>
      </c>
      <c r="K208" s="141">
        <f t="shared" si="90"/>
        <v>82.6</v>
      </c>
      <c r="L208" s="140">
        <f t="shared" si="90"/>
        <v>0</v>
      </c>
      <c r="N208" s="200">
        <f t="shared" si="63"/>
        <v>0</v>
      </c>
      <c r="P208" s="141">
        <f t="shared" ref="P208:P213" si="91">P73+P165+P201</f>
        <v>5082.6000000000004</v>
      </c>
      <c r="R208" s="201"/>
    </row>
    <row r="209" spans="1:18" s="199" customFormat="1" x14ac:dyDescent="0.25">
      <c r="A209" s="536"/>
      <c r="B209" s="537"/>
      <c r="C209" s="538"/>
      <c r="D209" s="139" t="s">
        <v>14</v>
      </c>
      <c r="E209" s="140">
        <f t="shared" si="68"/>
        <v>22247.50056</v>
      </c>
      <c r="F209" s="197">
        <f t="shared" si="90"/>
        <v>6558.7772700000005</v>
      </c>
      <c r="G209" s="140">
        <f t="shared" si="90"/>
        <v>4891.5</v>
      </c>
      <c r="H209" s="140">
        <f t="shared" si="90"/>
        <v>872.66728999999998</v>
      </c>
      <c r="I209" s="198">
        <f t="shared" si="90"/>
        <v>3003.2559999999999</v>
      </c>
      <c r="J209" s="141">
        <f t="shared" si="90"/>
        <v>5535.1</v>
      </c>
      <c r="K209" s="141">
        <f t="shared" si="90"/>
        <v>1386.2</v>
      </c>
      <c r="L209" s="140">
        <f t="shared" si="90"/>
        <v>0</v>
      </c>
      <c r="N209" s="200">
        <f t="shared" si="63"/>
        <v>2099.6559999999999</v>
      </c>
      <c r="P209" s="141">
        <f t="shared" si="91"/>
        <v>903.59999999999991</v>
      </c>
      <c r="R209" s="201"/>
    </row>
    <row r="210" spans="1:18" s="199" customFormat="1" x14ac:dyDescent="0.25">
      <c r="A210" s="536"/>
      <c r="B210" s="537"/>
      <c r="C210" s="538"/>
      <c r="D210" s="139" t="s">
        <v>15</v>
      </c>
      <c r="E210" s="140">
        <f t="shared" si="68"/>
        <v>4968520.5989699997</v>
      </c>
      <c r="F210" s="197">
        <f t="shared" si="90"/>
        <v>671049.72847000009</v>
      </c>
      <c r="G210" s="140">
        <f t="shared" si="90"/>
        <v>691967.74146000005</v>
      </c>
      <c r="H210" s="140">
        <f t="shared" si="90"/>
        <v>681188.93412999995</v>
      </c>
      <c r="I210" s="198">
        <f t="shared" si="90"/>
        <v>691617.26302999991</v>
      </c>
      <c r="J210" s="140">
        <f t="shared" si="90"/>
        <v>294616.26835999999</v>
      </c>
      <c r="K210" s="140">
        <f t="shared" si="90"/>
        <v>276911.52335999999</v>
      </c>
      <c r="L210" s="140">
        <f t="shared" si="90"/>
        <v>1661169.14016</v>
      </c>
      <c r="N210" s="200">
        <f t="shared" si="63"/>
        <v>267428.59955999989</v>
      </c>
      <c r="P210" s="140">
        <f t="shared" si="91"/>
        <v>424188.66347000003</v>
      </c>
      <c r="R210" s="201"/>
    </row>
    <row r="211" spans="1:18" s="199" customFormat="1" ht="30" x14ac:dyDescent="0.25">
      <c r="A211" s="536"/>
      <c r="B211" s="537"/>
      <c r="C211" s="538"/>
      <c r="D211" s="202" t="s">
        <v>94</v>
      </c>
      <c r="E211" s="140">
        <f t="shared" si="68"/>
        <v>0</v>
      </c>
      <c r="F211" s="140">
        <f t="shared" si="90"/>
        <v>0</v>
      </c>
      <c r="G211" s="140">
        <f t="shared" si="90"/>
        <v>0</v>
      </c>
      <c r="H211" s="140">
        <f t="shared" si="90"/>
        <v>0</v>
      </c>
      <c r="I211" s="198">
        <f t="shared" si="90"/>
        <v>0</v>
      </c>
      <c r="J211" s="140">
        <f t="shared" si="90"/>
        <v>0</v>
      </c>
      <c r="K211" s="140">
        <f t="shared" si="90"/>
        <v>0</v>
      </c>
      <c r="L211" s="140">
        <f t="shared" si="90"/>
        <v>0</v>
      </c>
      <c r="N211" s="200">
        <f t="shared" si="63"/>
        <v>0</v>
      </c>
      <c r="P211" s="140">
        <f t="shared" si="91"/>
        <v>0</v>
      </c>
      <c r="R211" s="201"/>
    </row>
    <row r="212" spans="1:18" s="199" customFormat="1" x14ac:dyDescent="0.25">
      <c r="A212" s="536"/>
      <c r="B212" s="537"/>
      <c r="C212" s="538"/>
      <c r="D212" s="202" t="s">
        <v>93</v>
      </c>
      <c r="E212" s="140">
        <f t="shared" si="68"/>
        <v>0</v>
      </c>
      <c r="F212" s="140">
        <f t="shared" si="90"/>
        <v>0</v>
      </c>
      <c r="G212" s="140">
        <f t="shared" si="90"/>
        <v>0</v>
      </c>
      <c r="H212" s="140">
        <f t="shared" si="90"/>
        <v>0</v>
      </c>
      <c r="I212" s="198">
        <f t="shared" si="90"/>
        <v>0</v>
      </c>
      <c r="J212" s="140">
        <f t="shared" si="90"/>
        <v>0</v>
      </c>
      <c r="K212" s="140">
        <f t="shared" si="90"/>
        <v>0</v>
      </c>
      <c r="L212" s="140">
        <f t="shared" si="90"/>
        <v>0</v>
      </c>
      <c r="N212" s="200">
        <f t="shared" si="63"/>
        <v>0</v>
      </c>
      <c r="P212" s="140">
        <f t="shared" si="91"/>
        <v>0</v>
      </c>
      <c r="R212" s="201"/>
    </row>
    <row r="213" spans="1:18" s="199" customFormat="1" x14ac:dyDescent="0.25">
      <c r="A213" s="539"/>
      <c r="B213" s="540"/>
      <c r="C213" s="541"/>
      <c r="D213" s="139" t="s">
        <v>18</v>
      </c>
      <c r="E213" s="140">
        <f t="shared" si="68"/>
        <v>2136604.0938350665</v>
      </c>
      <c r="F213" s="140">
        <f t="shared" si="90"/>
        <v>0</v>
      </c>
      <c r="G213" s="140">
        <f t="shared" si="90"/>
        <v>0</v>
      </c>
      <c r="H213" s="140">
        <f t="shared" si="90"/>
        <v>0</v>
      </c>
      <c r="I213" s="198">
        <f t="shared" si="90"/>
        <v>250939.85058999999</v>
      </c>
      <c r="J213" s="140">
        <f t="shared" si="90"/>
        <v>350993.14149431</v>
      </c>
      <c r="K213" s="140">
        <f t="shared" si="90"/>
        <v>207815.00963408241</v>
      </c>
      <c r="L213" s="140">
        <f t="shared" si="90"/>
        <v>1326856.0921166742</v>
      </c>
      <c r="N213" s="200">
        <f t="shared" si="63"/>
        <v>-299215.46298000001</v>
      </c>
      <c r="P213" s="140">
        <f t="shared" si="91"/>
        <v>550155.31357</v>
      </c>
      <c r="R213" s="201"/>
    </row>
    <row r="214" spans="1:18" x14ac:dyDescent="0.25">
      <c r="A214" s="488" t="s">
        <v>97</v>
      </c>
      <c r="B214" s="489"/>
      <c r="C214" s="490"/>
      <c r="D214" s="125" t="s">
        <v>54</v>
      </c>
      <c r="E214" s="126" t="s">
        <v>54</v>
      </c>
      <c r="F214" s="126"/>
      <c r="G214" s="126"/>
      <c r="H214" s="126"/>
      <c r="I214" s="203" t="s">
        <v>54</v>
      </c>
      <c r="J214" s="126" t="s">
        <v>54</v>
      </c>
      <c r="K214" s="126"/>
      <c r="L214" s="126" t="s">
        <v>54</v>
      </c>
      <c r="N214" s="57" t="e">
        <f t="shared" si="63"/>
        <v>#VALUE!</v>
      </c>
      <c r="P214" s="126" t="s">
        <v>54</v>
      </c>
    </row>
    <row r="215" spans="1:18" s="40" customFormat="1" x14ac:dyDescent="0.25">
      <c r="A215" s="500" t="s">
        <v>98</v>
      </c>
      <c r="B215" s="501"/>
      <c r="C215" s="502"/>
      <c r="D215" s="125" t="s">
        <v>12</v>
      </c>
      <c r="E215" s="48">
        <f t="shared" si="68"/>
        <v>0</v>
      </c>
      <c r="F215" s="48">
        <f t="shared" ref="F215:L215" si="92">SUM(F216:F221)</f>
        <v>0</v>
      </c>
      <c r="G215" s="48">
        <f t="shared" si="92"/>
        <v>0</v>
      </c>
      <c r="H215" s="48">
        <f t="shared" si="92"/>
        <v>0</v>
      </c>
      <c r="I215" s="204">
        <f t="shared" si="92"/>
        <v>0</v>
      </c>
      <c r="J215" s="48">
        <f t="shared" si="92"/>
        <v>0</v>
      </c>
      <c r="K215" s="48">
        <f t="shared" si="92"/>
        <v>0</v>
      </c>
      <c r="L215" s="48">
        <f t="shared" si="92"/>
        <v>0</v>
      </c>
      <c r="M215" s="32"/>
      <c r="N215" s="57">
        <f t="shared" si="63"/>
        <v>0</v>
      </c>
      <c r="P215" s="48">
        <f t="shared" ref="P215" si="93">SUM(P216:P221)</f>
        <v>0</v>
      </c>
      <c r="R215" s="107"/>
    </row>
    <row r="216" spans="1:18" x14ac:dyDescent="0.25">
      <c r="A216" s="503"/>
      <c r="B216" s="504"/>
      <c r="C216" s="505"/>
      <c r="D216" s="125" t="s">
        <v>13</v>
      </c>
      <c r="E216" s="48">
        <f t="shared" si="68"/>
        <v>0</v>
      </c>
      <c r="F216" s="48">
        <f t="shared" ref="F216:L221" si="94">F10+F17+F31+F81+F24</f>
        <v>0</v>
      </c>
      <c r="G216" s="48">
        <f t="shared" si="94"/>
        <v>0</v>
      </c>
      <c r="H216" s="48">
        <f t="shared" si="94"/>
        <v>0</v>
      </c>
      <c r="I216" s="204">
        <f t="shared" si="94"/>
        <v>0</v>
      </c>
      <c r="J216" s="48">
        <f t="shared" si="94"/>
        <v>0</v>
      </c>
      <c r="K216" s="48">
        <f t="shared" si="94"/>
        <v>0</v>
      </c>
      <c r="L216" s="48">
        <f t="shared" si="94"/>
        <v>0</v>
      </c>
      <c r="N216" s="57">
        <f t="shared" si="63"/>
        <v>0</v>
      </c>
      <c r="P216" s="48">
        <f t="shared" ref="P216:P221" si="95">P10+P17+P31+P81+P24</f>
        <v>0</v>
      </c>
    </row>
    <row r="217" spans="1:18" x14ac:dyDescent="0.25">
      <c r="A217" s="503"/>
      <c r="B217" s="504"/>
      <c r="C217" s="505"/>
      <c r="D217" s="125" t="s">
        <v>14</v>
      </c>
      <c r="E217" s="48">
        <f t="shared" si="68"/>
        <v>0</v>
      </c>
      <c r="F217" s="48">
        <f t="shared" si="94"/>
        <v>0</v>
      </c>
      <c r="G217" s="48">
        <f t="shared" si="94"/>
        <v>0</v>
      </c>
      <c r="H217" s="48">
        <f t="shared" si="94"/>
        <v>0</v>
      </c>
      <c r="I217" s="204">
        <f t="shared" si="94"/>
        <v>0</v>
      </c>
      <c r="J217" s="48">
        <f t="shared" si="94"/>
        <v>0</v>
      </c>
      <c r="K217" s="48">
        <f t="shared" si="94"/>
        <v>0</v>
      </c>
      <c r="L217" s="48">
        <f t="shared" si="94"/>
        <v>0</v>
      </c>
      <c r="N217" s="57">
        <f t="shared" si="63"/>
        <v>0</v>
      </c>
      <c r="P217" s="48">
        <f t="shared" si="95"/>
        <v>0</v>
      </c>
    </row>
    <row r="218" spans="1:18" x14ac:dyDescent="0.25">
      <c r="A218" s="503"/>
      <c r="B218" s="504"/>
      <c r="C218" s="505"/>
      <c r="D218" s="125" t="s">
        <v>15</v>
      </c>
      <c r="E218" s="49">
        <f t="shared" si="68"/>
        <v>0</v>
      </c>
      <c r="F218" s="48">
        <f t="shared" si="94"/>
        <v>0</v>
      </c>
      <c r="G218" s="48">
        <f t="shared" si="94"/>
        <v>0</v>
      </c>
      <c r="H218" s="48">
        <f t="shared" si="94"/>
        <v>0</v>
      </c>
      <c r="I218" s="204">
        <f t="shared" si="94"/>
        <v>0</v>
      </c>
      <c r="J218" s="48">
        <f t="shared" si="94"/>
        <v>0</v>
      </c>
      <c r="K218" s="48">
        <f t="shared" si="94"/>
        <v>0</v>
      </c>
      <c r="L218" s="48">
        <f t="shared" si="94"/>
        <v>0</v>
      </c>
      <c r="N218" s="57">
        <f t="shared" si="63"/>
        <v>0</v>
      </c>
      <c r="P218" s="48">
        <f t="shared" si="95"/>
        <v>0</v>
      </c>
    </row>
    <row r="219" spans="1:18" ht="30" x14ac:dyDescent="0.25">
      <c r="A219" s="503"/>
      <c r="B219" s="504"/>
      <c r="C219" s="505"/>
      <c r="D219" s="124" t="s">
        <v>94</v>
      </c>
      <c r="E219" s="49">
        <f t="shared" si="68"/>
        <v>0</v>
      </c>
      <c r="F219" s="48">
        <f t="shared" si="94"/>
        <v>0</v>
      </c>
      <c r="G219" s="48">
        <f t="shared" si="94"/>
        <v>0</v>
      </c>
      <c r="H219" s="48">
        <f t="shared" si="94"/>
        <v>0</v>
      </c>
      <c r="I219" s="204">
        <f t="shared" si="94"/>
        <v>0</v>
      </c>
      <c r="J219" s="48">
        <f t="shared" si="94"/>
        <v>0</v>
      </c>
      <c r="K219" s="48">
        <f t="shared" si="94"/>
        <v>0</v>
      </c>
      <c r="L219" s="48">
        <f t="shared" si="94"/>
        <v>0</v>
      </c>
      <c r="N219" s="57">
        <f t="shared" si="63"/>
        <v>0</v>
      </c>
      <c r="P219" s="48">
        <f t="shared" si="95"/>
        <v>0</v>
      </c>
    </row>
    <row r="220" spans="1:18" x14ac:dyDescent="0.25">
      <c r="A220" s="503"/>
      <c r="B220" s="504"/>
      <c r="C220" s="505"/>
      <c r="D220" s="124" t="s">
        <v>93</v>
      </c>
      <c r="E220" s="49">
        <f t="shared" si="68"/>
        <v>0</v>
      </c>
      <c r="F220" s="48">
        <f t="shared" si="94"/>
        <v>0</v>
      </c>
      <c r="G220" s="48">
        <f t="shared" si="94"/>
        <v>0</v>
      </c>
      <c r="H220" s="48">
        <f t="shared" si="94"/>
        <v>0</v>
      </c>
      <c r="I220" s="204">
        <f t="shared" si="94"/>
        <v>0</v>
      </c>
      <c r="J220" s="48">
        <f t="shared" si="94"/>
        <v>0</v>
      </c>
      <c r="K220" s="48">
        <f t="shared" si="94"/>
        <v>0</v>
      </c>
      <c r="L220" s="48">
        <f t="shared" si="94"/>
        <v>0</v>
      </c>
      <c r="N220" s="57">
        <f t="shared" si="63"/>
        <v>0</v>
      </c>
      <c r="P220" s="48">
        <f t="shared" si="95"/>
        <v>0</v>
      </c>
    </row>
    <row r="221" spans="1:18" x14ac:dyDescent="0.25">
      <c r="A221" s="506"/>
      <c r="B221" s="507"/>
      <c r="C221" s="508"/>
      <c r="D221" s="125" t="s">
        <v>18</v>
      </c>
      <c r="E221" s="49">
        <f t="shared" si="68"/>
        <v>0</v>
      </c>
      <c r="F221" s="48">
        <f t="shared" si="94"/>
        <v>0</v>
      </c>
      <c r="G221" s="48">
        <f t="shared" si="94"/>
        <v>0</v>
      </c>
      <c r="H221" s="48">
        <f t="shared" si="94"/>
        <v>0</v>
      </c>
      <c r="I221" s="204">
        <f t="shared" si="94"/>
        <v>0</v>
      </c>
      <c r="J221" s="48">
        <f t="shared" si="94"/>
        <v>0</v>
      </c>
      <c r="K221" s="48">
        <f t="shared" si="94"/>
        <v>0</v>
      </c>
      <c r="L221" s="48">
        <f t="shared" si="94"/>
        <v>0</v>
      </c>
      <c r="N221" s="57">
        <f t="shared" si="63"/>
        <v>0</v>
      </c>
      <c r="P221" s="48">
        <f t="shared" si="95"/>
        <v>0</v>
      </c>
    </row>
    <row r="222" spans="1:18" s="40" customFormat="1" x14ac:dyDescent="0.25">
      <c r="A222" s="500" t="s">
        <v>99</v>
      </c>
      <c r="B222" s="501"/>
      <c r="C222" s="502"/>
      <c r="D222" s="125" t="s">
        <v>12</v>
      </c>
      <c r="E222" s="48">
        <f t="shared" si="68"/>
        <v>7135804.4933650661</v>
      </c>
      <c r="F222" s="91">
        <f t="shared" ref="F222:L222" si="96">SUM(F223:F228)</f>
        <v>677622.10574000014</v>
      </c>
      <c r="G222" s="48">
        <f t="shared" si="96"/>
        <v>696859.24146000005</v>
      </c>
      <c r="H222" s="48">
        <f t="shared" si="96"/>
        <v>682112.50141999999</v>
      </c>
      <c r="I222" s="204">
        <f t="shared" si="96"/>
        <v>950642.96961999987</v>
      </c>
      <c r="J222" s="48">
        <f t="shared" si="96"/>
        <v>654347.10985431005</v>
      </c>
      <c r="K222" s="48">
        <f t="shared" si="96"/>
        <v>486195.33299408236</v>
      </c>
      <c r="L222" s="48">
        <f t="shared" si="96"/>
        <v>2988025.2322766744</v>
      </c>
      <c r="M222" s="32"/>
      <c r="N222" s="57">
        <f t="shared" si="63"/>
        <v>-29687.207420000108</v>
      </c>
      <c r="P222" s="48">
        <f t="shared" ref="P222" si="97">SUM(P223:P228)</f>
        <v>980330.17703999998</v>
      </c>
      <c r="R222" s="107"/>
    </row>
    <row r="223" spans="1:18" x14ac:dyDescent="0.25">
      <c r="A223" s="503"/>
      <c r="B223" s="504"/>
      <c r="C223" s="505"/>
      <c r="D223" s="125" t="s">
        <v>13</v>
      </c>
      <c r="E223" s="48">
        <f t="shared" si="68"/>
        <v>8432.3000000000011</v>
      </c>
      <c r="F223" s="91">
        <f>F208-F216</f>
        <v>13.6</v>
      </c>
      <c r="G223" s="48">
        <f t="shared" ref="G223:L223" si="98">G208-G216</f>
        <v>0</v>
      </c>
      <c r="H223" s="48">
        <f t="shared" si="98"/>
        <v>50.9</v>
      </c>
      <c r="I223" s="204">
        <f t="shared" si="98"/>
        <v>5082.6000000000004</v>
      </c>
      <c r="J223" s="48">
        <f t="shared" si="98"/>
        <v>3202.6</v>
      </c>
      <c r="K223" s="48">
        <f t="shared" si="98"/>
        <v>82.6</v>
      </c>
      <c r="L223" s="48">
        <f t="shared" si="98"/>
        <v>0</v>
      </c>
      <c r="N223" s="57">
        <f t="shared" ref="N223:N286" si="99">I223-P223</f>
        <v>0</v>
      </c>
      <c r="P223" s="48">
        <f t="shared" ref="P223:P228" si="100">P208-P216</f>
        <v>5082.6000000000004</v>
      </c>
    </row>
    <row r="224" spans="1:18" x14ac:dyDescent="0.25">
      <c r="A224" s="503"/>
      <c r="B224" s="504"/>
      <c r="C224" s="505"/>
      <c r="D224" s="125" t="s">
        <v>14</v>
      </c>
      <c r="E224" s="48">
        <f t="shared" si="68"/>
        <v>22247.50056</v>
      </c>
      <c r="F224" s="91">
        <f t="shared" ref="F224:L228" si="101">F209-F217</f>
        <v>6558.7772700000005</v>
      </c>
      <c r="G224" s="48">
        <f t="shared" si="101"/>
        <v>4891.5</v>
      </c>
      <c r="H224" s="48">
        <f t="shared" si="101"/>
        <v>872.66728999999998</v>
      </c>
      <c r="I224" s="204">
        <f t="shared" si="101"/>
        <v>3003.2559999999999</v>
      </c>
      <c r="J224" s="48">
        <f t="shared" si="101"/>
        <v>5535.1</v>
      </c>
      <c r="K224" s="48">
        <f t="shared" si="101"/>
        <v>1386.2</v>
      </c>
      <c r="L224" s="48">
        <f t="shared" si="101"/>
        <v>0</v>
      </c>
      <c r="N224" s="57">
        <f t="shared" si="99"/>
        <v>2099.6559999999999</v>
      </c>
      <c r="P224" s="48">
        <f t="shared" si="100"/>
        <v>903.59999999999991</v>
      </c>
    </row>
    <row r="225" spans="1:18" x14ac:dyDescent="0.25">
      <c r="A225" s="503"/>
      <c r="B225" s="504"/>
      <c r="C225" s="505"/>
      <c r="D225" s="125" t="s">
        <v>15</v>
      </c>
      <c r="E225" s="48">
        <f t="shared" si="68"/>
        <v>4968520.5989699997</v>
      </c>
      <c r="F225" s="91">
        <f t="shared" si="101"/>
        <v>671049.72847000009</v>
      </c>
      <c r="G225" s="48">
        <f t="shared" si="101"/>
        <v>691967.74146000005</v>
      </c>
      <c r="H225" s="48">
        <f t="shared" si="101"/>
        <v>681188.93412999995</v>
      </c>
      <c r="I225" s="204">
        <f t="shared" si="101"/>
        <v>691617.26302999991</v>
      </c>
      <c r="J225" s="48">
        <f t="shared" si="101"/>
        <v>294616.26835999999</v>
      </c>
      <c r="K225" s="48">
        <f t="shared" si="101"/>
        <v>276911.52335999999</v>
      </c>
      <c r="L225" s="48">
        <f t="shared" si="101"/>
        <v>1661169.14016</v>
      </c>
      <c r="N225" s="57">
        <f t="shared" si="99"/>
        <v>267428.59955999989</v>
      </c>
      <c r="P225" s="48">
        <f t="shared" si="100"/>
        <v>424188.66347000003</v>
      </c>
    </row>
    <row r="226" spans="1:18" ht="30" x14ac:dyDescent="0.25">
      <c r="A226" s="503"/>
      <c r="B226" s="504"/>
      <c r="C226" s="505"/>
      <c r="D226" s="124" t="s">
        <v>94</v>
      </c>
      <c r="E226" s="48">
        <f t="shared" si="68"/>
        <v>0</v>
      </c>
      <c r="F226" s="48">
        <f t="shared" si="101"/>
        <v>0</v>
      </c>
      <c r="G226" s="48">
        <f t="shared" si="101"/>
        <v>0</v>
      </c>
      <c r="H226" s="48">
        <f t="shared" si="101"/>
        <v>0</v>
      </c>
      <c r="I226" s="204">
        <f t="shared" si="101"/>
        <v>0</v>
      </c>
      <c r="J226" s="48">
        <f t="shared" si="101"/>
        <v>0</v>
      </c>
      <c r="K226" s="48">
        <f t="shared" si="101"/>
        <v>0</v>
      </c>
      <c r="L226" s="48">
        <f t="shared" si="101"/>
        <v>0</v>
      </c>
      <c r="N226" s="57">
        <f t="shared" si="99"/>
        <v>0</v>
      </c>
      <c r="P226" s="48">
        <f t="shared" si="100"/>
        <v>0</v>
      </c>
    </row>
    <row r="227" spans="1:18" x14ac:dyDescent="0.25">
      <c r="A227" s="503"/>
      <c r="B227" s="504"/>
      <c r="C227" s="505"/>
      <c r="D227" s="124" t="s">
        <v>93</v>
      </c>
      <c r="E227" s="48">
        <f t="shared" si="68"/>
        <v>0</v>
      </c>
      <c r="F227" s="48">
        <f t="shared" si="101"/>
        <v>0</v>
      </c>
      <c r="G227" s="48">
        <f t="shared" si="101"/>
        <v>0</v>
      </c>
      <c r="H227" s="48">
        <f t="shared" si="101"/>
        <v>0</v>
      </c>
      <c r="I227" s="204">
        <f t="shared" si="101"/>
        <v>0</v>
      </c>
      <c r="J227" s="48">
        <f t="shared" si="101"/>
        <v>0</v>
      </c>
      <c r="K227" s="48">
        <f t="shared" si="101"/>
        <v>0</v>
      </c>
      <c r="L227" s="48">
        <f t="shared" si="101"/>
        <v>0</v>
      </c>
      <c r="N227" s="57">
        <f t="shared" si="99"/>
        <v>0</v>
      </c>
      <c r="P227" s="48">
        <f t="shared" si="100"/>
        <v>0</v>
      </c>
    </row>
    <row r="228" spans="1:18" x14ac:dyDescent="0.25">
      <c r="A228" s="506"/>
      <c r="B228" s="507"/>
      <c r="C228" s="508"/>
      <c r="D228" s="125" t="s">
        <v>18</v>
      </c>
      <c r="E228" s="48">
        <f t="shared" si="68"/>
        <v>2136604.0938350665</v>
      </c>
      <c r="F228" s="48">
        <f t="shared" si="101"/>
        <v>0</v>
      </c>
      <c r="G228" s="48">
        <f t="shared" si="101"/>
        <v>0</v>
      </c>
      <c r="H228" s="48">
        <f t="shared" si="101"/>
        <v>0</v>
      </c>
      <c r="I228" s="204">
        <f t="shared" si="101"/>
        <v>250939.85058999999</v>
      </c>
      <c r="J228" s="48">
        <f t="shared" si="101"/>
        <v>350993.14149431</v>
      </c>
      <c r="K228" s="48">
        <f t="shared" si="101"/>
        <v>207815.00963408241</v>
      </c>
      <c r="L228" s="48">
        <f t="shared" si="101"/>
        <v>1326856.0921166742</v>
      </c>
      <c r="N228" s="57">
        <f t="shared" si="99"/>
        <v>-299215.46298000001</v>
      </c>
      <c r="P228" s="48">
        <f t="shared" si="100"/>
        <v>550155.31357</v>
      </c>
    </row>
    <row r="229" spans="1:18" x14ac:dyDescent="0.25">
      <c r="A229" s="509" t="s">
        <v>97</v>
      </c>
      <c r="B229" s="510"/>
      <c r="C229" s="511"/>
      <c r="D229" s="125" t="s">
        <v>54</v>
      </c>
      <c r="E229" s="50" t="s">
        <v>54</v>
      </c>
      <c r="F229" s="48"/>
      <c r="G229" s="48"/>
      <c r="H229" s="48"/>
      <c r="I229" s="204" t="s">
        <v>54</v>
      </c>
      <c r="J229" s="48" t="s">
        <v>54</v>
      </c>
      <c r="K229" s="48"/>
      <c r="L229" s="48" t="s">
        <v>54</v>
      </c>
      <c r="N229" s="57"/>
      <c r="P229" s="48" t="s">
        <v>54</v>
      </c>
    </row>
    <row r="230" spans="1:18" s="40" customFormat="1" x14ac:dyDescent="0.25">
      <c r="A230" s="500" t="s">
        <v>100</v>
      </c>
      <c r="B230" s="501"/>
      <c r="C230" s="502"/>
      <c r="D230" s="125" t="s">
        <v>12</v>
      </c>
      <c r="E230" s="48">
        <f t="shared" si="68"/>
        <v>1409305.7978000001</v>
      </c>
      <c r="F230" s="91">
        <f t="shared" ref="F230:L230" si="102">SUM(F231:F236)</f>
        <v>265344.92694999999</v>
      </c>
      <c r="G230" s="48">
        <f t="shared" si="102"/>
        <v>264161.92694999999</v>
      </c>
      <c r="H230" s="48">
        <f t="shared" si="102"/>
        <v>264161.92694999999</v>
      </c>
      <c r="I230" s="204">
        <f t="shared" si="102"/>
        <v>462111.92694999999</v>
      </c>
      <c r="J230" s="48">
        <f t="shared" si="102"/>
        <v>153525.09</v>
      </c>
      <c r="K230" s="48">
        <f t="shared" si="102"/>
        <v>0</v>
      </c>
      <c r="L230" s="48">
        <f t="shared" si="102"/>
        <v>0</v>
      </c>
      <c r="N230" s="57">
        <f t="shared" si="99"/>
        <v>-20803.127659999998</v>
      </c>
      <c r="P230" s="48">
        <f t="shared" ref="P230" si="103">SUM(P231:P236)</f>
        <v>482915.05460999999</v>
      </c>
      <c r="R230" s="107"/>
    </row>
    <row r="231" spans="1:18" x14ac:dyDescent="0.25">
      <c r="A231" s="503"/>
      <c r="B231" s="504"/>
      <c r="C231" s="505"/>
      <c r="D231" s="125" t="s">
        <v>13</v>
      </c>
      <c r="E231" s="48">
        <f t="shared" si="68"/>
        <v>0</v>
      </c>
      <c r="F231" s="48">
        <f t="shared" ref="F231:L236" si="104">F52</f>
        <v>0</v>
      </c>
      <c r="G231" s="48">
        <f t="shared" si="104"/>
        <v>0</v>
      </c>
      <c r="H231" s="48">
        <f t="shared" si="104"/>
        <v>0</v>
      </c>
      <c r="I231" s="204">
        <f t="shared" si="104"/>
        <v>0</v>
      </c>
      <c r="J231" s="48">
        <f t="shared" si="104"/>
        <v>0</v>
      </c>
      <c r="K231" s="48">
        <f t="shared" si="104"/>
        <v>0</v>
      </c>
      <c r="L231" s="48">
        <f t="shared" si="104"/>
        <v>0</v>
      </c>
      <c r="N231" s="57">
        <f t="shared" si="99"/>
        <v>0</v>
      </c>
      <c r="P231" s="48">
        <f t="shared" ref="P231:P236" si="105">P52</f>
        <v>0</v>
      </c>
    </row>
    <row r="232" spans="1:18" x14ac:dyDescent="0.25">
      <c r="A232" s="503"/>
      <c r="B232" s="504"/>
      <c r="C232" s="505"/>
      <c r="D232" s="125" t="s">
        <v>14</v>
      </c>
      <c r="E232" s="48">
        <f t="shared" si="68"/>
        <v>0</v>
      </c>
      <c r="F232" s="48">
        <f t="shared" si="104"/>
        <v>0</v>
      </c>
      <c r="G232" s="48">
        <f t="shared" si="104"/>
        <v>0</v>
      </c>
      <c r="H232" s="48">
        <f t="shared" si="104"/>
        <v>0</v>
      </c>
      <c r="I232" s="204">
        <f t="shared" si="104"/>
        <v>0</v>
      </c>
      <c r="J232" s="48">
        <f t="shared" si="104"/>
        <v>0</v>
      </c>
      <c r="K232" s="48">
        <f t="shared" si="104"/>
        <v>0</v>
      </c>
      <c r="L232" s="48">
        <f t="shared" si="104"/>
        <v>0</v>
      </c>
      <c r="N232" s="57">
        <f t="shared" si="99"/>
        <v>0</v>
      </c>
      <c r="P232" s="48">
        <f t="shared" si="105"/>
        <v>0</v>
      </c>
    </row>
    <row r="233" spans="1:18" x14ac:dyDescent="0.25">
      <c r="A233" s="503"/>
      <c r="B233" s="504"/>
      <c r="C233" s="505"/>
      <c r="D233" s="125" t="s">
        <v>15</v>
      </c>
      <c r="E233" s="49">
        <f t="shared" si="68"/>
        <v>1057830.7078</v>
      </c>
      <c r="F233" s="91">
        <f t="shared" si="104"/>
        <v>265344.92694999999</v>
      </c>
      <c r="G233" s="48">
        <f t="shared" si="104"/>
        <v>264161.92694999999</v>
      </c>
      <c r="H233" s="48">
        <f t="shared" si="104"/>
        <v>264161.92694999999</v>
      </c>
      <c r="I233" s="204">
        <f t="shared" si="104"/>
        <v>264161.92694999999</v>
      </c>
      <c r="J233" s="48">
        <f t="shared" si="104"/>
        <v>0</v>
      </c>
      <c r="K233" s="48">
        <f t="shared" si="104"/>
        <v>0</v>
      </c>
      <c r="L233" s="48">
        <f t="shared" si="104"/>
        <v>0</v>
      </c>
      <c r="N233" s="57">
        <f t="shared" si="99"/>
        <v>243358.79929</v>
      </c>
      <c r="P233" s="48">
        <f t="shared" si="105"/>
        <v>20803.127659999998</v>
      </c>
    </row>
    <row r="234" spans="1:18" ht="30" x14ac:dyDescent="0.25">
      <c r="A234" s="503"/>
      <c r="B234" s="504"/>
      <c r="C234" s="505"/>
      <c r="D234" s="124" t="s">
        <v>94</v>
      </c>
      <c r="E234" s="49">
        <f t="shared" si="68"/>
        <v>0</v>
      </c>
      <c r="F234" s="48">
        <f t="shared" si="104"/>
        <v>0</v>
      </c>
      <c r="G234" s="48">
        <f t="shared" si="104"/>
        <v>0</v>
      </c>
      <c r="H234" s="48">
        <f t="shared" si="104"/>
        <v>0</v>
      </c>
      <c r="I234" s="204">
        <f t="shared" si="104"/>
        <v>0</v>
      </c>
      <c r="J234" s="48">
        <f t="shared" si="104"/>
        <v>0</v>
      </c>
      <c r="K234" s="48">
        <f t="shared" si="104"/>
        <v>0</v>
      </c>
      <c r="L234" s="48">
        <f t="shared" si="104"/>
        <v>0</v>
      </c>
      <c r="N234" s="57">
        <f t="shared" si="99"/>
        <v>0</v>
      </c>
      <c r="P234" s="48">
        <f t="shared" si="105"/>
        <v>0</v>
      </c>
    </row>
    <row r="235" spans="1:18" x14ac:dyDescent="0.25">
      <c r="A235" s="503"/>
      <c r="B235" s="504"/>
      <c r="C235" s="505"/>
      <c r="D235" s="124" t="s">
        <v>93</v>
      </c>
      <c r="E235" s="49">
        <f t="shared" si="68"/>
        <v>0</v>
      </c>
      <c r="F235" s="48">
        <f t="shared" si="104"/>
        <v>0</v>
      </c>
      <c r="G235" s="48">
        <f t="shared" si="104"/>
        <v>0</v>
      </c>
      <c r="H235" s="48">
        <f t="shared" si="104"/>
        <v>0</v>
      </c>
      <c r="I235" s="204">
        <f t="shared" si="104"/>
        <v>0</v>
      </c>
      <c r="J235" s="48">
        <f t="shared" si="104"/>
        <v>0</v>
      </c>
      <c r="K235" s="48">
        <f t="shared" si="104"/>
        <v>0</v>
      </c>
      <c r="L235" s="48">
        <f t="shared" si="104"/>
        <v>0</v>
      </c>
      <c r="N235" s="57">
        <f t="shared" si="99"/>
        <v>0</v>
      </c>
      <c r="P235" s="48">
        <f t="shared" si="105"/>
        <v>0</v>
      </c>
    </row>
    <row r="236" spans="1:18" x14ac:dyDescent="0.25">
      <c r="A236" s="506"/>
      <c r="B236" s="507"/>
      <c r="C236" s="508"/>
      <c r="D236" s="125" t="s">
        <v>18</v>
      </c>
      <c r="E236" s="49">
        <f t="shared" si="68"/>
        <v>351475.08999999997</v>
      </c>
      <c r="F236" s="48">
        <f t="shared" si="104"/>
        <v>0</v>
      </c>
      <c r="G236" s="48">
        <f t="shared" si="104"/>
        <v>0</v>
      </c>
      <c r="H236" s="48">
        <f t="shared" si="104"/>
        <v>0</v>
      </c>
      <c r="I236" s="204">
        <f t="shared" si="104"/>
        <v>197950</v>
      </c>
      <c r="J236" s="48">
        <f t="shared" si="104"/>
        <v>153525.09</v>
      </c>
      <c r="K236" s="48">
        <f t="shared" si="104"/>
        <v>0</v>
      </c>
      <c r="L236" s="48">
        <f t="shared" si="104"/>
        <v>0</v>
      </c>
      <c r="N236" s="57">
        <f t="shared" si="99"/>
        <v>-264161.92694999999</v>
      </c>
      <c r="P236" s="48">
        <f t="shared" si="105"/>
        <v>462111.92694999999</v>
      </c>
    </row>
    <row r="237" spans="1:18" s="40" customFormat="1" x14ac:dyDescent="0.25">
      <c r="A237" s="500" t="s">
        <v>101</v>
      </c>
      <c r="B237" s="501"/>
      <c r="C237" s="502"/>
      <c r="D237" s="125" t="s">
        <v>12</v>
      </c>
      <c r="E237" s="48">
        <f t="shared" si="68"/>
        <v>5726498.6955650672</v>
      </c>
      <c r="F237" s="91">
        <f t="shared" ref="F237:L237" si="106">SUM(F238:F243)</f>
        <v>412277.17879000009</v>
      </c>
      <c r="G237" s="48">
        <f t="shared" si="106"/>
        <v>432697.31451000005</v>
      </c>
      <c r="H237" s="48">
        <f t="shared" si="106"/>
        <v>417950.57446999993</v>
      </c>
      <c r="I237" s="204">
        <f t="shared" si="106"/>
        <v>488531.04266999994</v>
      </c>
      <c r="J237" s="48">
        <f t="shared" si="106"/>
        <v>500822.01985430997</v>
      </c>
      <c r="K237" s="48">
        <f t="shared" si="106"/>
        <v>486195.33299408236</v>
      </c>
      <c r="L237" s="48">
        <f t="shared" si="106"/>
        <v>2988025.2322766744</v>
      </c>
      <c r="N237" s="57">
        <f t="shared" si="99"/>
        <v>-8884.0797600001097</v>
      </c>
      <c r="P237" s="48">
        <f t="shared" ref="P237" si="107">SUM(P238:P243)</f>
        <v>497415.12243000005</v>
      </c>
      <c r="R237" s="107"/>
    </row>
    <row r="238" spans="1:18" x14ac:dyDescent="0.25">
      <c r="A238" s="503"/>
      <c r="B238" s="504"/>
      <c r="C238" s="505"/>
      <c r="D238" s="125" t="s">
        <v>13</v>
      </c>
      <c r="E238" s="48">
        <f t="shared" si="68"/>
        <v>8432.3000000000011</v>
      </c>
      <c r="F238" s="91">
        <f>F208-F231</f>
        <v>13.6</v>
      </c>
      <c r="G238" s="48">
        <f t="shared" ref="G238:L238" si="108">G208-G231</f>
        <v>0</v>
      </c>
      <c r="H238" s="48">
        <f t="shared" si="108"/>
        <v>50.9</v>
      </c>
      <c r="I238" s="204">
        <f t="shared" si="108"/>
        <v>5082.6000000000004</v>
      </c>
      <c r="J238" s="48">
        <f t="shared" si="108"/>
        <v>3202.6</v>
      </c>
      <c r="K238" s="48">
        <f t="shared" si="108"/>
        <v>82.6</v>
      </c>
      <c r="L238" s="48">
        <f t="shared" si="108"/>
        <v>0</v>
      </c>
      <c r="N238" s="57">
        <f t="shared" si="99"/>
        <v>0</v>
      </c>
      <c r="P238" s="48">
        <f t="shared" ref="P238:P243" si="109">P208-P231</f>
        <v>5082.6000000000004</v>
      </c>
    </row>
    <row r="239" spans="1:18" x14ac:dyDescent="0.25">
      <c r="A239" s="503"/>
      <c r="B239" s="504"/>
      <c r="C239" s="505"/>
      <c r="D239" s="125" t="s">
        <v>14</v>
      </c>
      <c r="E239" s="48">
        <f t="shared" si="68"/>
        <v>22247.50056</v>
      </c>
      <c r="F239" s="91">
        <f t="shared" ref="F239:L243" si="110">F209-F232</f>
        <v>6558.7772700000005</v>
      </c>
      <c r="G239" s="48">
        <f t="shared" si="110"/>
        <v>4891.5</v>
      </c>
      <c r="H239" s="48">
        <f t="shared" si="110"/>
        <v>872.66728999999998</v>
      </c>
      <c r="I239" s="204">
        <f t="shared" si="110"/>
        <v>3003.2559999999999</v>
      </c>
      <c r="J239" s="48">
        <f t="shared" si="110"/>
        <v>5535.1</v>
      </c>
      <c r="K239" s="48">
        <f t="shared" si="110"/>
        <v>1386.2</v>
      </c>
      <c r="L239" s="48">
        <f t="shared" si="110"/>
        <v>0</v>
      </c>
      <c r="N239" s="57">
        <f t="shared" si="99"/>
        <v>2099.6559999999999</v>
      </c>
      <c r="P239" s="48">
        <f t="shared" si="109"/>
        <v>903.59999999999991</v>
      </c>
    </row>
    <row r="240" spans="1:18" x14ac:dyDescent="0.25">
      <c r="A240" s="503"/>
      <c r="B240" s="504"/>
      <c r="C240" s="505"/>
      <c r="D240" s="125" t="s">
        <v>15</v>
      </c>
      <c r="E240" s="48">
        <f t="shared" si="68"/>
        <v>3910689.8911700002</v>
      </c>
      <c r="F240" s="91">
        <f t="shared" si="110"/>
        <v>405704.8015200001</v>
      </c>
      <c r="G240" s="48">
        <f t="shared" si="110"/>
        <v>427805.81451000005</v>
      </c>
      <c r="H240" s="48">
        <f t="shared" si="110"/>
        <v>417027.00717999996</v>
      </c>
      <c r="I240" s="204">
        <f t="shared" si="110"/>
        <v>427455.33607999992</v>
      </c>
      <c r="J240" s="48">
        <f t="shared" si="110"/>
        <v>294616.26835999999</v>
      </c>
      <c r="K240" s="48">
        <f t="shared" si="110"/>
        <v>276911.52335999999</v>
      </c>
      <c r="L240" s="48">
        <f t="shared" si="110"/>
        <v>1661169.14016</v>
      </c>
      <c r="N240" s="57">
        <f t="shared" si="99"/>
        <v>24069.800269999891</v>
      </c>
      <c r="P240" s="48">
        <f t="shared" si="109"/>
        <v>403385.53581000003</v>
      </c>
    </row>
    <row r="241" spans="1:19" ht="30" x14ac:dyDescent="0.25">
      <c r="A241" s="503"/>
      <c r="B241" s="504"/>
      <c r="C241" s="505"/>
      <c r="D241" s="124" t="s">
        <v>94</v>
      </c>
      <c r="E241" s="48">
        <f t="shared" si="68"/>
        <v>0</v>
      </c>
      <c r="F241" s="48">
        <f t="shared" si="110"/>
        <v>0</v>
      </c>
      <c r="G241" s="48">
        <f t="shared" si="110"/>
        <v>0</v>
      </c>
      <c r="H241" s="48">
        <f t="shared" si="110"/>
        <v>0</v>
      </c>
      <c r="I241" s="204">
        <f t="shared" si="110"/>
        <v>0</v>
      </c>
      <c r="J241" s="48">
        <f t="shared" si="110"/>
        <v>0</v>
      </c>
      <c r="K241" s="48">
        <f t="shared" si="110"/>
        <v>0</v>
      </c>
      <c r="L241" s="48">
        <f t="shared" si="110"/>
        <v>0</v>
      </c>
      <c r="N241" s="57">
        <f t="shared" si="99"/>
        <v>0</v>
      </c>
      <c r="P241" s="48">
        <f t="shared" si="109"/>
        <v>0</v>
      </c>
    </row>
    <row r="242" spans="1:19" x14ac:dyDescent="0.25">
      <c r="A242" s="503"/>
      <c r="B242" s="504"/>
      <c r="C242" s="505"/>
      <c r="D242" s="124" t="s">
        <v>93</v>
      </c>
      <c r="E242" s="48">
        <f t="shared" si="68"/>
        <v>0</v>
      </c>
      <c r="F242" s="48">
        <f t="shared" si="110"/>
        <v>0</v>
      </c>
      <c r="G242" s="48">
        <f t="shared" si="110"/>
        <v>0</v>
      </c>
      <c r="H242" s="48">
        <f t="shared" si="110"/>
        <v>0</v>
      </c>
      <c r="I242" s="204">
        <f t="shared" si="110"/>
        <v>0</v>
      </c>
      <c r="J242" s="48">
        <f t="shared" si="110"/>
        <v>0</v>
      </c>
      <c r="K242" s="48">
        <f t="shared" si="110"/>
        <v>0</v>
      </c>
      <c r="L242" s="48">
        <f t="shared" si="110"/>
        <v>0</v>
      </c>
      <c r="N242" s="57">
        <f t="shared" si="99"/>
        <v>0</v>
      </c>
      <c r="P242" s="48">
        <f t="shared" si="109"/>
        <v>0</v>
      </c>
    </row>
    <row r="243" spans="1:19" x14ac:dyDescent="0.25">
      <c r="A243" s="506"/>
      <c r="B243" s="507"/>
      <c r="C243" s="508"/>
      <c r="D243" s="125" t="s">
        <v>18</v>
      </c>
      <c r="E243" s="48">
        <f t="shared" si="68"/>
        <v>1785129.0038350667</v>
      </c>
      <c r="F243" s="48">
        <f t="shared" si="110"/>
        <v>0</v>
      </c>
      <c r="G243" s="48">
        <f t="shared" si="110"/>
        <v>0</v>
      </c>
      <c r="H243" s="48">
        <f t="shared" si="110"/>
        <v>0</v>
      </c>
      <c r="I243" s="204">
        <f t="shared" si="110"/>
        <v>52989.850589999987</v>
      </c>
      <c r="J243" s="48">
        <f t="shared" si="110"/>
        <v>197468.05149431</v>
      </c>
      <c r="K243" s="48">
        <f t="shared" si="110"/>
        <v>207815.00963408241</v>
      </c>
      <c r="L243" s="48">
        <f t="shared" si="110"/>
        <v>1326856.0921166742</v>
      </c>
      <c r="N243" s="57">
        <f t="shared" si="99"/>
        <v>-35053.536030000017</v>
      </c>
      <c r="P243" s="48">
        <f t="shared" si="109"/>
        <v>88043.386620000005</v>
      </c>
    </row>
    <row r="244" spans="1:19" x14ac:dyDescent="0.25">
      <c r="A244" s="512" t="s">
        <v>79</v>
      </c>
      <c r="B244" s="513"/>
      <c r="C244" s="514"/>
      <c r="D244" s="125"/>
      <c r="E244" s="51"/>
      <c r="F244" s="51"/>
      <c r="G244" s="51"/>
      <c r="H244" s="51"/>
      <c r="I244" s="205"/>
      <c r="J244" s="51"/>
      <c r="K244" s="51"/>
      <c r="L244" s="51"/>
      <c r="N244" s="57">
        <f t="shared" si="99"/>
        <v>0</v>
      </c>
      <c r="P244" s="51"/>
    </row>
    <row r="245" spans="1:19" x14ac:dyDescent="0.25">
      <c r="A245" s="500" t="s">
        <v>148</v>
      </c>
      <c r="B245" s="501"/>
      <c r="C245" s="502"/>
      <c r="D245" s="125" t="s">
        <v>12</v>
      </c>
      <c r="E245" s="48">
        <f t="shared" si="68"/>
        <v>4612122.468492833</v>
      </c>
      <c r="F245" s="91">
        <f t="shared" ref="F245:L245" si="111">SUM(F246:F251)</f>
        <v>305236.04231000011</v>
      </c>
      <c r="G245" s="48">
        <f t="shared" si="111"/>
        <v>324206.88092000014</v>
      </c>
      <c r="H245" s="48">
        <f t="shared" si="111"/>
        <v>314385.45942999987</v>
      </c>
      <c r="I245" s="204">
        <f t="shared" si="111"/>
        <v>380255.8727799998</v>
      </c>
      <c r="J245" s="48">
        <f t="shared" si="111"/>
        <v>416194.60146250995</v>
      </c>
      <c r="K245" s="48">
        <f t="shared" si="111"/>
        <v>400813.75864021038</v>
      </c>
      <c r="L245" s="48">
        <f t="shared" si="111"/>
        <v>2471029.8529501129</v>
      </c>
      <c r="N245" s="57">
        <f t="shared" si="99"/>
        <v>-14703.085680000251</v>
      </c>
      <c r="P245" s="48">
        <f t="shared" ref="P245" si="112">SUM(P246:P251)</f>
        <v>394958.95846000005</v>
      </c>
    </row>
    <row r="246" spans="1:19" x14ac:dyDescent="0.25">
      <c r="A246" s="503"/>
      <c r="B246" s="504"/>
      <c r="C246" s="505"/>
      <c r="D246" s="125" t="s">
        <v>13</v>
      </c>
      <c r="E246" s="48">
        <f t="shared" si="68"/>
        <v>8432.3000000000011</v>
      </c>
      <c r="F246" s="83">
        <f>F208-F253-F260-F267-F274</f>
        <v>13.6</v>
      </c>
      <c r="G246" s="84">
        <f t="shared" ref="G246:L246" si="113">G208-G253-G260-G267-G274</f>
        <v>0</v>
      </c>
      <c r="H246" s="84">
        <f t="shared" si="113"/>
        <v>50.9</v>
      </c>
      <c r="I246" s="206">
        <f t="shared" si="113"/>
        <v>5082.6000000000004</v>
      </c>
      <c r="J246" s="84">
        <f t="shared" si="113"/>
        <v>3202.6</v>
      </c>
      <c r="K246" s="84">
        <f t="shared" si="113"/>
        <v>82.6</v>
      </c>
      <c r="L246" s="84">
        <f t="shared" si="113"/>
        <v>0</v>
      </c>
      <c r="N246" s="57">
        <f t="shared" si="99"/>
        <v>0</v>
      </c>
      <c r="P246" s="84">
        <f t="shared" ref="P246:P251" si="114">P208-P253-P260-P267-P274</f>
        <v>5082.6000000000004</v>
      </c>
    </row>
    <row r="247" spans="1:19" x14ac:dyDescent="0.25">
      <c r="A247" s="503"/>
      <c r="B247" s="504"/>
      <c r="C247" s="505"/>
      <c r="D247" s="125" t="s">
        <v>14</v>
      </c>
      <c r="E247" s="48">
        <f t="shared" si="68"/>
        <v>21747.50056</v>
      </c>
      <c r="F247" s="83">
        <f t="shared" ref="F247:L251" si="115">F209-F254-F261-F268-F275</f>
        <v>6558.7772700000005</v>
      </c>
      <c r="G247" s="84">
        <f t="shared" si="115"/>
        <v>4891.5</v>
      </c>
      <c r="H247" s="84">
        <f t="shared" si="115"/>
        <v>872.66728999999998</v>
      </c>
      <c r="I247" s="206">
        <f t="shared" si="115"/>
        <v>2503.2559999999999</v>
      </c>
      <c r="J247" s="84">
        <f t="shared" si="115"/>
        <v>5535.1</v>
      </c>
      <c r="K247" s="84">
        <f t="shared" si="115"/>
        <v>1386.2</v>
      </c>
      <c r="L247" s="84">
        <f t="shared" si="115"/>
        <v>0</v>
      </c>
      <c r="N247" s="57">
        <f t="shared" si="99"/>
        <v>1599.6559999999999</v>
      </c>
      <c r="P247" s="84">
        <f t="shared" si="114"/>
        <v>903.59999999999991</v>
      </c>
      <c r="Q247" s="32" t="s">
        <v>281</v>
      </c>
      <c r="R247" s="105">
        <v>333540.09743999998</v>
      </c>
    </row>
    <row r="248" spans="1:19" x14ac:dyDescent="0.25">
      <c r="A248" s="503"/>
      <c r="B248" s="504"/>
      <c r="C248" s="505"/>
      <c r="D248" s="125" t="s">
        <v>15</v>
      </c>
      <c r="E248" s="52">
        <f t="shared" si="68"/>
        <v>2958117.6157</v>
      </c>
      <c r="F248" s="83">
        <f t="shared" si="115"/>
        <v>298663.66504000011</v>
      </c>
      <c r="G248" s="84">
        <f t="shared" si="115"/>
        <v>319315.38092000014</v>
      </c>
      <c r="H248" s="84">
        <f t="shared" si="115"/>
        <v>313461.89213999989</v>
      </c>
      <c r="I248" s="206">
        <f t="shared" si="115"/>
        <v>325954.24143999984</v>
      </c>
      <c r="J248" s="84">
        <f t="shared" si="115"/>
        <v>223056.40801999997</v>
      </c>
      <c r="K248" s="84">
        <f t="shared" si="115"/>
        <v>211138.00401999999</v>
      </c>
      <c r="L248" s="84">
        <f t="shared" si="115"/>
        <v>1266528.02412</v>
      </c>
      <c r="N248" s="57">
        <f t="shared" si="99"/>
        <v>21062.050879999821</v>
      </c>
      <c r="P248" s="84">
        <f t="shared" si="114"/>
        <v>304892.19056000002</v>
      </c>
      <c r="Q248" s="32" t="s">
        <v>279</v>
      </c>
      <c r="R248" s="105">
        <f>R102</f>
        <v>-4786.5339999999997</v>
      </c>
      <c r="S248" s="32" t="s">
        <v>280</v>
      </c>
    </row>
    <row r="249" spans="1:19" ht="30" x14ac:dyDescent="0.25">
      <c r="A249" s="503"/>
      <c r="B249" s="504"/>
      <c r="C249" s="505"/>
      <c r="D249" s="124" t="s">
        <v>94</v>
      </c>
      <c r="E249" s="48">
        <f t="shared" si="68"/>
        <v>0</v>
      </c>
      <c r="F249" s="83">
        <f t="shared" si="115"/>
        <v>0</v>
      </c>
      <c r="G249" s="84">
        <f t="shared" si="115"/>
        <v>0</v>
      </c>
      <c r="H249" s="84">
        <f t="shared" si="115"/>
        <v>0</v>
      </c>
      <c r="I249" s="207">
        <f t="shared" si="115"/>
        <v>0</v>
      </c>
      <c r="J249" s="84">
        <f t="shared" si="115"/>
        <v>0</v>
      </c>
      <c r="K249" s="84">
        <f t="shared" si="115"/>
        <v>0</v>
      </c>
      <c r="L249" s="84">
        <f t="shared" si="115"/>
        <v>0</v>
      </c>
      <c r="N249" s="57">
        <f t="shared" si="99"/>
        <v>0</v>
      </c>
      <c r="P249" s="84">
        <f t="shared" si="114"/>
        <v>0</v>
      </c>
      <c r="R249" s="105">
        <f>SUM(R247:R248)</f>
        <v>328753.56344</v>
      </c>
    </row>
    <row r="250" spans="1:19" x14ac:dyDescent="0.25">
      <c r="A250" s="503"/>
      <c r="B250" s="504"/>
      <c r="C250" s="505"/>
      <c r="D250" s="124" t="s">
        <v>93</v>
      </c>
      <c r="E250" s="48">
        <f t="shared" ref="E250:E265" si="116">SUM(F250:L250)</f>
        <v>0</v>
      </c>
      <c r="F250" s="83">
        <f t="shared" si="115"/>
        <v>0</v>
      </c>
      <c r="G250" s="84">
        <f t="shared" si="115"/>
        <v>0</v>
      </c>
      <c r="H250" s="84">
        <f t="shared" si="115"/>
        <v>0</v>
      </c>
      <c r="I250" s="207">
        <f t="shared" si="115"/>
        <v>0</v>
      </c>
      <c r="J250" s="84">
        <f t="shared" si="115"/>
        <v>0</v>
      </c>
      <c r="K250" s="84">
        <f t="shared" si="115"/>
        <v>0</v>
      </c>
      <c r="L250" s="84">
        <f t="shared" si="115"/>
        <v>0</v>
      </c>
      <c r="N250" s="57">
        <f t="shared" si="99"/>
        <v>0</v>
      </c>
      <c r="P250" s="84">
        <f t="shared" si="114"/>
        <v>0</v>
      </c>
      <c r="R250" s="105">
        <f>I246+I247+I248-R249</f>
        <v>4786.5339999998105</v>
      </c>
    </row>
    <row r="251" spans="1:19" x14ac:dyDescent="0.25">
      <c r="A251" s="506"/>
      <c r="B251" s="507"/>
      <c r="C251" s="508"/>
      <c r="D251" s="125" t="s">
        <v>18</v>
      </c>
      <c r="E251" s="48">
        <f t="shared" si="116"/>
        <v>1623825.0522328333</v>
      </c>
      <c r="F251" s="83">
        <f t="shared" si="115"/>
        <v>0</v>
      </c>
      <c r="G251" s="84">
        <f t="shared" si="115"/>
        <v>0</v>
      </c>
      <c r="H251" s="84">
        <f t="shared" si="115"/>
        <v>0</v>
      </c>
      <c r="I251" s="207">
        <f t="shared" si="115"/>
        <v>46715.775339999993</v>
      </c>
      <c r="J251" s="84">
        <f t="shared" si="115"/>
        <v>184400.49344250999</v>
      </c>
      <c r="K251" s="84">
        <f t="shared" si="115"/>
        <v>188206.9546202104</v>
      </c>
      <c r="L251" s="84">
        <f t="shared" si="115"/>
        <v>1204501.8288301129</v>
      </c>
      <c r="N251" s="57">
        <f t="shared" si="99"/>
        <v>-37364.792560000031</v>
      </c>
      <c r="P251" s="84">
        <f t="shared" si="114"/>
        <v>84080.567900000024</v>
      </c>
    </row>
    <row r="252" spans="1:19" x14ac:dyDescent="0.25">
      <c r="A252" s="500" t="s">
        <v>188</v>
      </c>
      <c r="B252" s="501"/>
      <c r="C252" s="502"/>
      <c r="D252" s="125" t="s">
        <v>12</v>
      </c>
      <c r="E252" s="48">
        <f t="shared" si="116"/>
        <v>1080633.4698622334</v>
      </c>
      <c r="F252" s="85">
        <f t="shared" ref="F252:L252" si="117">SUM(F253:F258)</f>
        <v>105349.21219000001</v>
      </c>
      <c r="G252" s="85">
        <f t="shared" si="117"/>
        <v>105316.36663</v>
      </c>
      <c r="H252" s="85">
        <f t="shared" si="117"/>
        <v>101120.66266</v>
      </c>
      <c r="I252" s="204">
        <f t="shared" si="117"/>
        <v>103780.45630999999</v>
      </c>
      <c r="J252" s="85">
        <f t="shared" si="117"/>
        <v>81885.218391800008</v>
      </c>
      <c r="K252" s="85">
        <f t="shared" si="117"/>
        <v>82639.374353872001</v>
      </c>
      <c r="L252" s="85">
        <f t="shared" si="117"/>
        <v>500542.17932656128</v>
      </c>
      <c r="N252" s="57">
        <f t="shared" si="99"/>
        <v>4066.4923399999971</v>
      </c>
      <c r="P252" s="85">
        <f t="shared" ref="P252" si="118">SUM(P253:P258)</f>
        <v>99713.963969999997</v>
      </c>
    </row>
    <row r="253" spans="1:19" x14ac:dyDescent="0.25">
      <c r="A253" s="503"/>
      <c r="B253" s="504"/>
      <c r="C253" s="505"/>
      <c r="D253" s="125" t="s">
        <v>13</v>
      </c>
      <c r="E253" s="48">
        <f t="shared" si="116"/>
        <v>0</v>
      </c>
      <c r="F253" s="83">
        <v>0</v>
      </c>
      <c r="G253" s="83">
        <v>0</v>
      </c>
      <c r="H253" s="83">
        <f>H187+H151+H116</f>
        <v>0</v>
      </c>
      <c r="I253" s="208">
        <f t="shared" ref="I253:L253" si="119">I187+I151+I116</f>
        <v>0</v>
      </c>
      <c r="J253" s="83">
        <f t="shared" si="119"/>
        <v>0</v>
      </c>
      <c r="K253" s="83">
        <f t="shared" si="119"/>
        <v>0</v>
      </c>
      <c r="L253" s="83">
        <f t="shared" si="119"/>
        <v>0</v>
      </c>
      <c r="N253" s="57">
        <f t="shared" si="99"/>
        <v>0</v>
      </c>
      <c r="P253" s="83">
        <f t="shared" ref="P253:P254" si="120">P187+P151+P116</f>
        <v>0</v>
      </c>
    </row>
    <row r="254" spans="1:19" x14ac:dyDescent="0.25">
      <c r="A254" s="503"/>
      <c r="B254" s="504"/>
      <c r="C254" s="505"/>
      <c r="D254" s="125" t="s">
        <v>14</v>
      </c>
      <c r="E254" s="48">
        <f t="shared" si="116"/>
        <v>0</v>
      </c>
      <c r="F254" s="83">
        <v>0</v>
      </c>
      <c r="G254" s="83">
        <v>0</v>
      </c>
      <c r="H254" s="83">
        <f t="shared" ref="H254:L258" si="121">H188+H152+H117</f>
        <v>0</v>
      </c>
      <c r="I254" s="208">
        <f t="shared" si="121"/>
        <v>0</v>
      </c>
      <c r="J254" s="83">
        <f t="shared" si="121"/>
        <v>0</v>
      </c>
      <c r="K254" s="83">
        <f t="shared" si="121"/>
        <v>0</v>
      </c>
      <c r="L254" s="83">
        <f t="shared" si="121"/>
        <v>0</v>
      </c>
      <c r="N254" s="57">
        <f t="shared" si="99"/>
        <v>0</v>
      </c>
      <c r="P254" s="83">
        <f t="shared" si="120"/>
        <v>0</v>
      </c>
    </row>
    <row r="255" spans="1:19" x14ac:dyDescent="0.25">
      <c r="A255" s="503"/>
      <c r="B255" s="504"/>
      <c r="C255" s="505"/>
      <c r="D255" s="125" t="s">
        <v>15</v>
      </c>
      <c r="E255" s="52">
        <f t="shared" si="116"/>
        <v>919329.51826000004</v>
      </c>
      <c r="F255" s="86">
        <v>105349.21219000001</v>
      </c>
      <c r="G255" s="86">
        <v>105316.36663</v>
      </c>
      <c r="H255" s="83">
        <f>H189+H153+H111</f>
        <v>101120.66266</v>
      </c>
      <c r="I255" s="209">
        <f t="shared" ref="I255:L255" si="122">I189+I153+I111</f>
        <v>97506.38106</v>
      </c>
      <c r="J255" s="83">
        <f t="shared" si="122"/>
        <v>68817.660340000002</v>
      </c>
      <c r="K255" s="83">
        <f t="shared" si="122"/>
        <v>63031.319340000002</v>
      </c>
      <c r="L255" s="83">
        <f t="shared" si="122"/>
        <v>378187.91604000004</v>
      </c>
      <c r="N255" s="57">
        <f t="shared" si="99"/>
        <v>1755.2358099999983</v>
      </c>
      <c r="P255" s="83">
        <f t="shared" ref="P255" si="123">P189+P153+P111</f>
        <v>95751.145250000001</v>
      </c>
    </row>
    <row r="256" spans="1:19" ht="30" x14ac:dyDescent="0.25">
      <c r="A256" s="503"/>
      <c r="B256" s="504"/>
      <c r="C256" s="505"/>
      <c r="D256" s="124" t="s">
        <v>94</v>
      </c>
      <c r="E256" s="48">
        <f t="shared" si="116"/>
        <v>0</v>
      </c>
      <c r="F256" s="83">
        <v>0</v>
      </c>
      <c r="G256" s="83">
        <v>0</v>
      </c>
      <c r="H256" s="83">
        <f t="shared" si="121"/>
        <v>0</v>
      </c>
      <c r="I256" s="208">
        <f t="shared" si="121"/>
        <v>0</v>
      </c>
      <c r="J256" s="83">
        <f t="shared" si="121"/>
        <v>0</v>
      </c>
      <c r="K256" s="83">
        <f t="shared" si="121"/>
        <v>0</v>
      </c>
      <c r="L256" s="83">
        <f t="shared" si="121"/>
        <v>0</v>
      </c>
      <c r="N256" s="57">
        <f t="shared" si="99"/>
        <v>0</v>
      </c>
      <c r="P256" s="83">
        <f t="shared" ref="P256:P258" si="124">P190+P154+P119</f>
        <v>0</v>
      </c>
    </row>
    <row r="257" spans="1:16" s="32" customFormat="1" x14ac:dyDescent="0.25">
      <c r="A257" s="503"/>
      <c r="B257" s="504"/>
      <c r="C257" s="505"/>
      <c r="D257" s="124" t="s">
        <v>93</v>
      </c>
      <c r="E257" s="48">
        <f t="shared" si="116"/>
        <v>0</v>
      </c>
      <c r="F257" s="83">
        <v>0</v>
      </c>
      <c r="G257" s="83">
        <v>0</v>
      </c>
      <c r="H257" s="83">
        <f t="shared" si="121"/>
        <v>0</v>
      </c>
      <c r="I257" s="208">
        <f t="shared" si="121"/>
        <v>0</v>
      </c>
      <c r="J257" s="83">
        <f t="shared" si="121"/>
        <v>0</v>
      </c>
      <c r="K257" s="83">
        <f t="shared" si="121"/>
        <v>0</v>
      </c>
      <c r="L257" s="83">
        <f t="shared" si="121"/>
        <v>0</v>
      </c>
      <c r="N257" s="57">
        <f t="shared" si="99"/>
        <v>0</v>
      </c>
      <c r="P257" s="83">
        <f t="shared" si="124"/>
        <v>0</v>
      </c>
    </row>
    <row r="258" spans="1:16" s="32" customFormat="1" x14ac:dyDescent="0.25">
      <c r="A258" s="506"/>
      <c r="B258" s="507"/>
      <c r="C258" s="508"/>
      <c r="D258" s="125" t="s">
        <v>18</v>
      </c>
      <c r="E258" s="48">
        <f t="shared" si="116"/>
        <v>161303.95160223328</v>
      </c>
      <c r="F258" s="83">
        <v>0</v>
      </c>
      <c r="G258" s="83">
        <v>0</v>
      </c>
      <c r="H258" s="83">
        <f>H192+H156+H121</f>
        <v>0</v>
      </c>
      <c r="I258" s="208">
        <f t="shared" si="121"/>
        <v>6274.0752499999999</v>
      </c>
      <c r="J258" s="83">
        <f t="shared" si="121"/>
        <v>13067.558051800001</v>
      </c>
      <c r="K258" s="83">
        <f t="shared" si="121"/>
        <v>19608.055013871999</v>
      </c>
      <c r="L258" s="83">
        <f t="shared" si="121"/>
        <v>122354.26328656127</v>
      </c>
      <c r="N258" s="57">
        <f t="shared" si="99"/>
        <v>2311.2565299999997</v>
      </c>
      <c r="P258" s="83">
        <f t="shared" si="124"/>
        <v>3962.8187200000002</v>
      </c>
    </row>
    <row r="259" spans="1:16" s="32" customFormat="1" x14ac:dyDescent="0.25">
      <c r="A259" s="542" t="s">
        <v>187</v>
      </c>
      <c r="B259" s="543"/>
      <c r="C259" s="544"/>
      <c r="D259" s="125" t="s">
        <v>12</v>
      </c>
      <c r="E259" s="48">
        <f t="shared" si="116"/>
        <v>1409305.7978000001</v>
      </c>
      <c r="F259" s="91">
        <f t="shared" ref="F259:L259" si="125">SUM(F260:F265)</f>
        <v>265344.92694999999</v>
      </c>
      <c r="G259" s="48">
        <f t="shared" si="125"/>
        <v>264161.92694999999</v>
      </c>
      <c r="H259" s="48">
        <f t="shared" si="125"/>
        <v>264161.92694999999</v>
      </c>
      <c r="I259" s="204">
        <f t="shared" si="125"/>
        <v>462111.92694999999</v>
      </c>
      <c r="J259" s="48">
        <f t="shared" si="125"/>
        <v>153525.09</v>
      </c>
      <c r="K259" s="48">
        <f t="shared" si="125"/>
        <v>0</v>
      </c>
      <c r="L259" s="48">
        <f t="shared" si="125"/>
        <v>0</v>
      </c>
      <c r="N259" s="57">
        <f t="shared" si="99"/>
        <v>-20803.127659999998</v>
      </c>
      <c r="P259" s="48">
        <f t="shared" ref="P259" si="126">SUM(P260:P265)</f>
        <v>482915.05460999999</v>
      </c>
    </row>
    <row r="260" spans="1:16" s="32" customFormat="1" x14ac:dyDescent="0.25">
      <c r="A260" s="545"/>
      <c r="B260" s="546"/>
      <c r="C260" s="547"/>
      <c r="D260" s="125" t="s">
        <v>13</v>
      </c>
      <c r="E260" s="48">
        <f t="shared" si="116"/>
        <v>0</v>
      </c>
      <c r="F260" s="50">
        <f t="shared" ref="F260:L265" si="127">F52</f>
        <v>0</v>
      </c>
      <c r="G260" s="50">
        <f t="shared" si="127"/>
        <v>0</v>
      </c>
      <c r="H260" s="50">
        <f t="shared" si="127"/>
        <v>0</v>
      </c>
      <c r="I260" s="208">
        <f t="shared" si="127"/>
        <v>0</v>
      </c>
      <c r="J260" s="50">
        <f t="shared" si="127"/>
        <v>0</v>
      </c>
      <c r="K260" s="50">
        <f t="shared" si="127"/>
        <v>0</v>
      </c>
      <c r="L260" s="50">
        <f t="shared" si="127"/>
        <v>0</v>
      </c>
      <c r="N260" s="57">
        <f t="shared" si="99"/>
        <v>0</v>
      </c>
      <c r="P260" s="50">
        <f t="shared" ref="P260:P265" si="128">P52</f>
        <v>0</v>
      </c>
    </row>
    <row r="261" spans="1:16" s="32" customFormat="1" x14ac:dyDescent="0.25">
      <c r="A261" s="545"/>
      <c r="B261" s="546"/>
      <c r="C261" s="547"/>
      <c r="D261" s="125" t="s">
        <v>14</v>
      </c>
      <c r="E261" s="48">
        <f t="shared" si="116"/>
        <v>0</v>
      </c>
      <c r="F261" s="50">
        <f t="shared" si="127"/>
        <v>0</v>
      </c>
      <c r="G261" s="50">
        <f t="shared" si="127"/>
        <v>0</v>
      </c>
      <c r="H261" s="50">
        <f t="shared" si="127"/>
        <v>0</v>
      </c>
      <c r="I261" s="208">
        <f t="shared" si="127"/>
        <v>0</v>
      </c>
      <c r="J261" s="50">
        <f t="shared" si="127"/>
        <v>0</v>
      </c>
      <c r="K261" s="50">
        <f t="shared" si="127"/>
        <v>0</v>
      </c>
      <c r="L261" s="50">
        <f t="shared" si="127"/>
        <v>0</v>
      </c>
      <c r="N261" s="57">
        <f t="shared" si="99"/>
        <v>0</v>
      </c>
      <c r="P261" s="50">
        <f t="shared" si="128"/>
        <v>0</v>
      </c>
    </row>
    <row r="262" spans="1:16" s="32" customFormat="1" x14ac:dyDescent="0.25">
      <c r="A262" s="545"/>
      <c r="B262" s="546"/>
      <c r="C262" s="547"/>
      <c r="D262" s="125" t="s">
        <v>15</v>
      </c>
      <c r="E262" s="52">
        <f t="shared" si="116"/>
        <v>1057830.7078</v>
      </c>
      <c r="F262" s="92">
        <f t="shared" si="127"/>
        <v>265344.92694999999</v>
      </c>
      <c r="G262" s="50">
        <f t="shared" si="127"/>
        <v>264161.92694999999</v>
      </c>
      <c r="H262" s="50">
        <f t="shared" si="127"/>
        <v>264161.92694999999</v>
      </c>
      <c r="I262" s="208">
        <f t="shared" si="127"/>
        <v>264161.92694999999</v>
      </c>
      <c r="J262" s="50">
        <f t="shared" si="127"/>
        <v>0</v>
      </c>
      <c r="K262" s="50">
        <f t="shared" si="127"/>
        <v>0</v>
      </c>
      <c r="L262" s="50">
        <f t="shared" si="127"/>
        <v>0</v>
      </c>
      <c r="N262" s="57">
        <f t="shared" si="99"/>
        <v>243358.79929</v>
      </c>
      <c r="P262" s="50">
        <f t="shared" si="128"/>
        <v>20803.127659999998</v>
      </c>
    </row>
    <row r="263" spans="1:16" s="32" customFormat="1" ht="30" x14ac:dyDescent="0.25">
      <c r="A263" s="545"/>
      <c r="B263" s="546"/>
      <c r="C263" s="547"/>
      <c r="D263" s="124" t="s">
        <v>94</v>
      </c>
      <c r="E263" s="48">
        <f t="shared" si="116"/>
        <v>0</v>
      </c>
      <c r="F263" s="50">
        <f t="shared" si="127"/>
        <v>0</v>
      </c>
      <c r="G263" s="50">
        <f t="shared" si="127"/>
        <v>0</v>
      </c>
      <c r="H263" s="50">
        <f t="shared" si="127"/>
        <v>0</v>
      </c>
      <c r="I263" s="208">
        <f t="shared" si="127"/>
        <v>0</v>
      </c>
      <c r="J263" s="50">
        <f t="shared" si="127"/>
        <v>0</v>
      </c>
      <c r="K263" s="50">
        <f t="shared" si="127"/>
        <v>0</v>
      </c>
      <c r="L263" s="50">
        <f t="shared" si="127"/>
        <v>0</v>
      </c>
      <c r="N263" s="57">
        <f t="shared" si="99"/>
        <v>0</v>
      </c>
      <c r="P263" s="50">
        <f t="shared" si="128"/>
        <v>0</v>
      </c>
    </row>
    <row r="264" spans="1:16" s="32" customFormat="1" x14ac:dyDescent="0.25">
      <c r="A264" s="545"/>
      <c r="B264" s="546"/>
      <c r="C264" s="547"/>
      <c r="D264" s="124" t="s">
        <v>102</v>
      </c>
      <c r="E264" s="48">
        <f t="shared" si="116"/>
        <v>0</v>
      </c>
      <c r="F264" s="50">
        <f t="shared" si="127"/>
        <v>0</v>
      </c>
      <c r="G264" s="50">
        <f t="shared" si="127"/>
        <v>0</v>
      </c>
      <c r="H264" s="50">
        <f t="shared" si="127"/>
        <v>0</v>
      </c>
      <c r="I264" s="208">
        <f t="shared" si="127"/>
        <v>0</v>
      </c>
      <c r="J264" s="50">
        <f t="shared" si="127"/>
        <v>0</v>
      </c>
      <c r="K264" s="50">
        <f t="shared" si="127"/>
        <v>0</v>
      </c>
      <c r="L264" s="50">
        <f t="shared" si="127"/>
        <v>0</v>
      </c>
      <c r="N264" s="57">
        <f t="shared" si="99"/>
        <v>0</v>
      </c>
      <c r="P264" s="50">
        <f t="shared" si="128"/>
        <v>0</v>
      </c>
    </row>
    <row r="265" spans="1:16" s="32" customFormat="1" x14ac:dyDescent="0.25">
      <c r="A265" s="548"/>
      <c r="B265" s="549"/>
      <c r="C265" s="550"/>
      <c r="D265" s="51" t="s">
        <v>18</v>
      </c>
      <c r="E265" s="48">
        <f t="shared" si="116"/>
        <v>351475.08999999997</v>
      </c>
      <c r="F265" s="50">
        <f t="shared" si="127"/>
        <v>0</v>
      </c>
      <c r="G265" s="50">
        <f t="shared" si="127"/>
        <v>0</v>
      </c>
      <c r="H265" s="50">
        <f t="shared" si="127"/>
        <v>0</v>
      </c>
      <c r="I265" s="208">
        <f t="shared" si="127"/>
        <v>197950</v>
      </c>
      <c r="J265" s="50">
        <f t="shared" si="127"/>
        <v>153525.09</v>
      </c>
      <c r="K265" s="50">
        <f t="shared" si="127"/>
        <v>0</v>
      </c>
      <c r="L265" s="50">
        <f t="shared" si="127"/>
        <v>0</v>
      </c>
      <c r="N265" s="57">
        <f t="shared" si="99"/>
        <v>-264161.92694999999</v>
      </c>
      <c r="P265" s="50">
        <f t="shared" si="128"/>
        <v>462111.92694999999</v>
      </c>
    </row>
    <row r="266" spans="1:16" s="32" customFormat="1" x14ac:dyDescent="0.25">
      <c r="A266" s="542" t="s">
        <v>186</v>
      </c>
      <c r="B266" s="543"/>
      <c r="C266" s="544"/>
      <c r="D266" s="125" t="s">
        <v>12</v>
      </c>
      <c r="E266" s="48">
        <f t="shared" ref="E266:E279" si="129">SUM(F266:L266)</f>
        <v>29238.943629999998</v>
      </c>
      <c r="F266" s="91">
        <f t="shared" ref="F266:L266" si="130">SUM(F267:F272)</f>
        <v>1691.9242900000002</v>
      </c>
      <c r="G266" s="48">
        <f t="shared" si="130"/>
        <v>1872.46696</v>
      </c>
      <c r="H266" s="48">
        <f t="shared" si="130"/>
        <v>994.7523799999999</v>
      </c>
      <c r="I266" s="204">
        <f t="shared" si="130"/>
        <v>2742.2</v>
      </c>
      <c r="J266" s="48">
        <f t="shared" si="130"/>
        <v>2742.2</v>
      </c>
      <c r="K266" s="48">
        <f t="shared" si="130"/>
        <v>2742.2</v>
      </c>
      <c r="L266" s="48">
        <f t="shared" si="130"/>
        <v>16453.199999999997</v>
      </c>
      <c r="N266" s="57">
        <f t="shared" si="99"/>
        <v>0</v>
      </c>
      <c r="P266" s="48">
        <f t="shared" ref="P266" si="131">SUM(P267:P272)</f>
        <v>2742.2</v>
      </c>
    </row>
    <row r="267" spans="1:16" s="32" customFormat="1" x14ac:dyDescent="0.25">
      <c r="A267" s="545"/>
      <c r="B267" s="546"/>
      <c r="C267" s="547"/>
      <c r="D267" s="125" t="s">
        <v>13</v>
      </c>
      <c r="E267" s="48">
        <f t="shared" si="129"/>
        <v>0</v>
      </c>
      <c r="F267" s="50">
        <f>F116</f>
        <v>0</v>
      </c>
      <c r="G267" s="50">
        <f t="shared" ref="G267:L267" si="132">G116</f>
        <v>0</v>
      </c>
      <c r="H267" s="50">
        <f t="shared" si="132"/>
        <v>0</v>
      </c>
      <c r="I267" s="208">
        <f t="shared" si="132"/>
        <v>0</v>
      </c>
      <c r="J267" s="50">
        <f t="shared" si="132"/>
        <v>0</v>
      </c>
      <c r="K267" s="50">
        <f t="shared" si="132"/>
        <v>0</v>
      </c>
      <c r="L267" s="50">
        <f t="shared" si="132"/>
        <v>0</v>
      </c>
      <c r="N267" s="57">
        <f t="shared" si="99"/>
        <v>0</v>
      </c>
      <c r="P267" s="50">
        <f t="shared" ref="P267:P272" si="133">P116</f>
        <v>0</v>
      </c>
    </row>
    <row r="268" spans="1:16" s="32" customFormat="1" x14ac:dyDescent="0.25">
      <c r="A268" s="545"/>
      <c r="B268" s="546"/>
      <c r="C268" s="547"/>
      <c r="D268" s="125" t="s">
        <v>14</v>
      </c>
      <c r="E268" s="48">
        <f t="shared" si="129"/>
        <v>0</v>
      </c>
      <c r="F268" s="50">
        <f t="shared" ref="F268:L272" si="134">F117</f>
        <v>0</v>
      </c>
      <c r="G268" s="50">
        <f t="shared" si="134"/>
        <v>0</v>
      </c>
      <c r="H268" s="50">
        <f t="shared" si="134"/>
        <v>0</v>
      </c>
      <c r="I268" s="208">
        <f t="shared" si="134"/>
        <v>0</v>
      </c>
      <c r="J268" s="50">
        <f t="shared" si="134"/>
        <v>0</v>
      </c>
      <c r="K268" s="50">
        <f t="shared" si="134"/>
        <v>0</v>
      </c>
      <c r="L268" s="50">
        <f t="shared" si="134"/>
        <v>0</v>
      </c>
      <c r="N268" s="57">
        <f t="shared" si="99"/>
        <v>0</v>
      </c>
      <c r="P268" s="50">
        <f t="shared" si="133"/>
        <v>0</v>
      </c>
    </row>
    <row r="269" spans="1:16" s="32" customFormat="1" x14ac:dyDescent="0.25">
      <c r="A269" s="545"/>
      <c r="B269" s="546"/>
      <c r="C269" s="547"/>
      <c r="D269" s="125" t="s">
        <v>15</v>
      </c>
      <c r="E269" s="52">
        <f t="shared" si="129"/>
        <v>29238.943629999998</v>
      </c>
      <c r="F269" s="92">
        <f t="shared" si="134"/>
        <v>1691.9242900000002</v>
      </c>
      <c r="G269" s="50">
        <f t="shared" si="134"/>
        <v>1872.46696</v>
      </c>
      <c r="H269" s="50">
        <f t="shared" si="134"/>
        <v>994.7523799999999</v>
      </c>
      <c r="I269" s="208">
        <f t="shared" si="134"/>
        <v>2742.2</v>
      </c>
      <c r="J269" s="50">
        <f t="shared" si="134"/>
        <v>2742.2</v>
      </c>
      <c r="K269" s="50">
        <f t="shared" si="134"/>
        <v>2742.2</v>
      </c>
      <c r="L269" s="50">
        <f t="shared" si="134"/>
        <v>16453.199999999997</v>
      </c>
      <c r="N269" s="57">
        <f t="shared" si="99"/>
        <v>0</v>
      </c>
      <c r="P269" s="50">
        <f t="shared" si="133"/>
        <v>2742.2</v>
      </c>
    </row>
    <row r="270" spans="1:16" s="32" customFormat="1" ht="30" x14ac:dyDescent="0.25">
      <c r="A270" s="545"/>
      <c r="B270" s="546"/>
      <c r="C270" s="547"/>
      <c r="D270" s="124" t="s">
        <v>94</v>
      </c>
      <c r="E270" s="48">
        <f t="shared" si="129"/>
        <v>0</v>
      </c>
      <c r="F270" s="50">
        <f t="shared" si="134"/>
        <v>0</v>
      </c>
      <c r="G270" s="50">
        <f t="shared" si="134"/>
        <v>0</v>
      </c>
      <c r="H270" s="50">
        <f t="shared" si="134"/>
        <v>0</v>
      </c>
      <c r="I270" s="208">
        <f t="shared" si="134"/>
        <v>0</v>
      </c>
      <c r="J270" s="50">
        <f t="shared" si="134"/>
        <v>0</v>
      </c>
      <c r="K270" s="50">
        <f t="shared" si="134"/>
        <v>0</v>
      </c>
      <c r="L270" s="50">
        <f t="shared" si="134"/>
        <v>0</v>
      </c>
      <c r="N270" s="57">
        <f t="shared" si="99"/>
        <v>0</v>
      </c>
      <c r="P270" s="50">
        <f t="shared" si="133"/>
        <v>0</v>
      </c>
    </row>
    <row r="271" spans="1:16" s="32" customFormat="1" x14ac:dyDescent="0.25">
      <c r="A271" s="545"/>
      <c r="B271" s="546"/>
      <c r="C271" s="547"/>
      <c r="D271" s="124" t="s">
        <v>102</v>
      </c>
      <c r="E271" s="48">
        <f t="shared" si="129"/>
        <v>0</v>
      </c>
      <c r="F271" s="50">
        <f t="shared" si="134"/>
        <v>0</v>
      </c>
      <c r="G271" s="50">
        <f t="shared" si="134"/>
        <v>0</v>
      </c>
      <c r="H271" s="50">
        <f t="shared" si="134"/>
        <v>0</v>
      </c>
      <c r="I271" s="208">
        <f t="shared" si="134"/>
        <v>0</v>
      </c>
      <c r="J271" s="50">
        <f t="shared" si="134"/>
        <v>0</v>
      </c>
      <c r="K271" s="50">
        <f t="shared" si="134"/>
        <v>0</v>
      </c>
      <c r="L271" s="50">
        <f t="shared" si="134"/>
        <v>0</v>
      </c>
      <c r="N271" s="57">
        <f t="shared" si="99"/>
        <v>0</v>
      </c>
      <c r="P271" s="50">
        <f t="shared" si="133"/>
        <v>0</v>
      </c>
    </row>
    <row r="272" spans="1:16" s="32" customFormat="1" x14ac:dyDescent="0.25">
      <c r="A272" s="548"/>
      <c r="B272" s="549"/>
      <c r="C272" s="550"/>
      <c r="D272" s="51" t="s">
        <v>18</v>
      </c>
      <c r="E272" s="48">
        <f t="shared" si="129"/>
        <v>0</v>
      </c>
      <c r="F272" s="50">
        <f t="shared" si="134"/>
        <v>0</v>
      </c>
      <c r="G272" s="50">
        <f t="shared" si="134"/>
        <v>0</v>
      </c>
      <c r="H272" s="50">
        <f t="shared" si="134"/>
        <v>0</v>
      </c>
      <c r="I272" s="208">
        <f t="shared" si="134"/>
        <v>0</v>
      </c>
      <c r="J272" s="50">
        <f t="shared" si="134"/>
        <v>0</v>
      </c>
      <c r="K272" s="50">
        <f t="shared" si="134"/>
        <v>0</v>
      </c>
      <c r="L272" s="50">
        <f t="shared" si="134"/>
        <v>0</v>
      </c>
      <c r="N272" s="57">
        <f t="shared" si="99"/>
        <v>0</v>
      </c>
      <c r="P272" s="50">
        <f t="shared" si="133"/>
        <v>0</v>
      </c>
    </row>
    <row r="273" spans="1:16" s="32" customFormat="1" x14ac:dyDescent="0.25">
      <c r="A273" s="542" t="s">
        <v>149</v>
      </c>
      <c r="B273" s="543"/>
      <c r="C273" s="544"/>
      <c r="D273" s="125" t="s">
        <v>12</v>
      </c>
      <c r="E273" s="53">
        <f t="shared" si="129"/>
        <v>4503.81358</v>
      </c>
      <c r="F273" s="53">
        <f t="shared" ref="F273:L273" si="135">SUM(F274:F279)</f>
        <v>0</v>
      </c>
      <c r="G273" s="53">
        <f t="shared" si="135"/>
        <v>1301.5999999999999</v>
      </c>
      <c r="H273" s="53">
        <f t="shared" si="135"/>
        <v>1449.7</v>
      </c>
      <c r="I273" s="210">
        <f t="shared" si="135"/>
        <v>1752.51358</v>
      </c>
      <c r="J273" s="53">
        <f t="shared" si="135"/>
        <v>0</v>
      </c>
      <c r="K273" s="53">
        <f t="shared" si="135"/>
        <v>0</v>
      </c>
      <c r="L273" s="53">
        <f t="shared" si="135"/>
        <v>0</v>
      </c>
      <c r="N273" s="57">
        <f t="shared" si="99"/>
        <v>1752.51358</v>
      </c>
      <c r="P273" s="53">
        <f t="shared" ref="P273" si="136">SUM(P274:P279)</f>
        <v>0</v>
      </c>
    </row>
    <row r="274" spans="1:16" s="32" customFormat="1" x14ac:dyDescent="0.25">
      <c r="A274" s="545"/>
      <c r="B274" s="546"/>
      <c r="C274" s="547"/>
      <c r="D274" s="125" t="s">
        <v>13</v>
      </c>
      <c r="E274" s="48">
        <f t="shared" si="129"/>
        <v>0</v>
      </c>
      <c r="F274" s="50">
        <f>F123</f>
        <v>0</v>
      </c>
      <c r="G274" s="50">
        <f t="shared" ref="G274:L279" si="137">G123</f>
        <v>0</v>
      </c>
      <c r="H274" s="50">
        <f t="shared" si="137"/>
        <v>0</v>
      </c>
      <c r="I274" s="208">
        <f t="shared" si="137"/>
        <v>0</v>
      </c>
      <c r="J274" s="50">
        <f t="shared" si="137"/>
        <v>0</v>
      </c>
      <c r="K274" s="50">
        <f t="shared" si="137"/>
        <v>0</v>
      </c>
      <c r="L274" s="50">
        <f t="shared" si="137"/>
        <v>0</v>
      </c>
      <c r="N274" s="57">
        <f t="shared" si="99"/>
        <v>0</v>
      </c>
      <c r="P274" s="50">
        <f t="shared" ref="P274:P279" si="138">P123</f>
        <v>0</v>
      </c>
    </row>
    <row r="275" spans="1:16" s="32" customFormat="1" x14ac:dyDescent="0.25">
      <c r="A275" s="545"/>
      <c r="B275" s="546"/>
      <c r="C275" s="547"/>
      <c r="D275" s="125" t="s">
        <v>14</v>
      </c>
      <c r="E275" s="48">
        <f t="shared" si="129"/>
        <v>500</v>
      </c>
      <c r="F275" s="50">
        <f t="shared" ref="F275:F279" si="139">F124</f>
        <v>0</v>
      </c>
      <c r="G275" s="50">
        <f t="shared" si="137"/>
        <v>0</v>
      </c>
      <c r="H275" s="50">
        <f t="shared" si="137"/>
        <v>0</v>
      </c>
      <c r="I275" s="208">
        <f t="shared" si="137"/>
        <v>500</v>
      </c>
      <c r="J275" s="50">
        <f t="shared" si="137"/>
        <v>0</v>
      </c>
      <c r="K275" s="50">
        <f t="shared" si="137"/>
        <v>0</v>
      </c>
      <c r="L275" s="50">
        <f t="shared" si="137"/>
        <v>0</v>
      </c>
      <c r="N275" s="57">
        <f t="shared" si="99"/>
        <v>500</v>
      </c>
      <c r="P275" s="50">
        <f t="shared" si="138"/>
        <v>0</v>
      </c>
    </row>
    <row r="276" spans="1:16" s="32" customFormat="1" x14ac:dyDescent="0.25">
      <c r="A276" s="545"/>
      <c r="B276" s="546"/>
      <c r="C276" s="547"/>
      <c r="D276" s="125" t="s">
        <v>15</v>
      </c>
      <c r="E276" s="52">
        <f t="shared" si="129"/>
        <v>4003.81358</v>
      </c>
      <c r="F276" s="50">
        <f t="shared" si="139"/>
        <v>0</v>
      </c>
      <c r="G276" s="50">
        <f t="shared" si="137"/>
        <v>1301.5999999999999</v>
      </c>
      <c r="H276" s="50">
        <f t="shared" si="137"/>
        <v>1449.7</v>
      </c>
      <c r="I276" s="208">
        <f t="shared" si="137"/>
        <v>1252.51358</v>
      </c>
      <c r="J276" s="50">
        <f t="shared" si="137"/>
        <v>0</v>
      </c>
      <c r="K276" s="50">
        <f t="shared" si="137"/>
        <v>0</v>
      </c>
      <c r="L276" s="50">
        <f t="shared" si="137"/>
        <v>0</v>
      </c>
      <c r="N276" s="57">
        <f t="shared" si="99"/>
        <v>1252.51358</v>
      </c>
      <c r="P276" s="50">
        <f t="shared" si="138"/>
        <v>0</v>
      </c>
    </row>
    <row r="277" spans="1:16" s="32" customFormat="1" ht="30" x14ac:dyDescent="0.25">
      <c r="A277" s="545"/>
      <c r="B277" s="546"/>
      <c r="C277" s="547"/>
      <c r="D277" s="124" t="s">
        <v>94</v>
      </c>
      <c r="E277" s="48">
        <f t="shared" si="129"/>
        <v>0</v>
      </c>
      <c r="F277" s="50">
        <f t="shared" si="139"/>
        <v>0</v>
      </c>
      <c r="G277" s="50">
        <f t="shared" si="137"/>
        <v>0</v>
      </c>
      <c r="H277" s="50">
        <f t="shared" si="137"/>
        <v>0</v>
      </c>
      <c r="I277" s="208">
        <f t="shared" si="137"/>
        <v>0</v>
      </c>
      <c r="J277" s="50">
        <f t="shared" si="137"/>
        <v>0</v>
      </c>
      <c r="K277" s="50">
        <f t="shared" si="137"/>
        <v>0</v>
      </c>
      <c r="L277" s="50">
        <f t="shared" si="137"/>
        <v>0</v>
      </c>
      <c r="N277" s="57">
        <f t="shared" si="99"/>
        <v>0</v>
      </c>
      <c r="P277" s="50">
        <f t="shared" si="138"/>
        <v>0</v>
      </c>
    </row>
    <row r="278" spans="1:16" s="32" customFormat="1" x14ac:dyDescent="0.25">
      <c r="A278" s="545"/>
      <c r="B278" s="546"/>
      <c r="C278" s="547"/>
      <c r="D278" s="124" t="s">
        <v>102</v>
      </c>
      <c r="E278" s="48">
        <f t="shared" si="129"/>
        <v>0</v>
      </c>
      <c r="F278" s="50">
        <f t="shared" si="139"/>
        <v>0</v>
      </c>
      <c r="G278" s="50">
        <f t="shared" si="137"/>
        <v>0</v>
      </c>
      <c r="H278" s="50">
        <f t="shared" si="137"/>
        <v>0</v>
      </c>
      <c r="I278" s="208">
        <f t="shared" si="137"/>
        <v>0</v>
      </c>
      <c r="J278" s="50">
        <f t="shared" si="137"/>
        <v>0</v>
      </c>
      <c r="K278" s="50">
        <f t="shared" si="137"/>
        <v>0</v>
      </c>
      <c r="L278" s="50">
        <f t="shared" si="137"/>
        <v>0</v>
      </c>
      <c r="N278" s="57">
        <f t="shared" si="99"/>
        <v>0</v>
      </c>
      <c r="P278" s="50">
        <f t="shared" si="138"/>
        <v>0</v>
      </c>
    </row>
    <row r="279" spans="1:16" s="32" customFormat="1" x14ac:dyDescent="0.25">
      <c r="A279" s="548"/>
      <c r="B279" s="549"/>
      <c r="C279" s="550"/>
      <c r="D279" s="51" t="s">
        <v>18</v>
      </c>
      <c r="E279" s="48">
        <f t="shared" si="129"/>
        <v>0</v>
      </c>
      <c r="F279" s="50">
        <f t="shared" si="139"/>
        <v>0</v>
      </c>
      <c r="G279" s="50">
        <f t="shared" si="137"/>
        <v>0</v>
      </c>
      <c r="H279" s="50">
        <f t="shared" si="137"/>
        <v>0</v>
      </c>
      <c r="I279" s="208">
        <f t="shared" si="137"/>
        <v>0</v>
      </c>
      <c r="J279" s="50">
        <f t="shared" si="137"/>
        <v>0</v>
      </c>
      <c r="K279" s="50">
        <f t="shared" si="137"/>
        <v>0</v>
      </c>
      <c r="L279" s="50">
        <f t="shared" si="137"/>
        <v>0</v>
      </c>
      <c r="N279" s="57">
        <f t="shared" si="99"/>
        <v>0</v>
      </c>
      <c r="P279" s="50">
        <f t="shared" si="138"/>
        <v>0</v>
      </c>
    </row>
    <row r="280" spans="1:16" s="32" customFormat="1" x14ac:dyDescent="0.25">
      <c r="A280" s="54"/>
      <c r="B280" s="55"/>
      <c r="C280" s="56"/>
      <c r="D280" s="56"/>
      <c r="E280" s="56"/>
      <c r="F280" s="56"/>
      <c r="G280" s="56"/>
      <c r="H280" s="56"/>
      <c r="I280" s="211"/>
      <c r="J280" s="56"/>
      <c r="K280" s="56"/>
      <c r="L280" s="56"/>
      <c r="N280" s="57">
        <f t="shared" si="99"/>
        <v>0</v>
      </c>
      <c r="P280" s="56"/>
    </row>
    <row r="281" spans="1:16" s="32" customFormat="1" x14ac:dyDescent="0.25">
      <c r="A281" s="422" t="s">
        <v>103</v>
      </c>
      <c r="B281" s="422"/>
      <c r="C281" s="422"/>
      <c r="D281" s="422"/>
      <c r="E281" s="422"/>
      <c r="F281" s="422"/>
      <c r="G281" s="422"/>
      <c r="H281" s="422"/>
      <c r="I281" s="422"/>
      <c r="J281" s="422"/>
      <c r="K281" s="422"/>
      <c r="L281" s="422"/>
      <c r="N281" s="57">
        <f t="shared" si="99"/>
        <v>0</v>
      </c>
    </row>
    <row r="282" spans="1:16" s="32" customFormat="1" x14ac:dyDescent="0.25">
      <c r="A282" s="422" t="s">
        <v>104</v>
      </c>
      <c r="B282" s="422"/>
      <c r="C282" s="422"/>
      <c r="D282" s="422"/>
      <c r="E282" s="422"/>
      <c r="F282" s="422"/>
      <c r="G282" s="422"/>
      <c r="H282" s="422"/>
      <c r="I282" s="422"/>
      <c r="J282" s="422"/>
      <c r="K282" s="422"/>
      <c r="L282" s="422"/>
      <c r="N282" s="57">
        <f t="shared" si="99"/>
        <v>0</v>
      </c>
    </row>
    <row r="283" spans="1:16" s="32" customFormat="1" x14ac:dyDescent="0.25">
      <c r="A283" s="422" t="s">
        <v>107</v>
      </c>
      <c r="B283" s="422"/>
      <c r="C283" s="422"/>
      <c r="D283" s="422"/>
      <c r="E283" s="422"/>
      <c r="F283" s="422"/>
      <c r="G283" s="422"/>
      <c r="H283" s="422"/>
      <c r="I283" s="422"/>
      <c r="J283" s="422"/>
      <c r="K283" s="422"/>
      <c r="L283" s="422"/>
      <c r="N283" s="57">
        <f t="shared" si="99"/>
        <v>0</v>
      </c>
    </row>
    <row r="284" spans="1:16" s="32" customFormat="1" x14ac:dyDescent="0.25">
      <c r="A284" s="422" t="s">
        <v>108</v>
      </c>
      <c r="B284" s="422"/>
      <c r="C284" s="422"/>
      <c r="D284" s="422"/>
      <c r="E284" s="422"/>
      <c r="F284" s="422"/>
      <c r="G284" s="422"/>
      <c r="H284" s="422"/>
      <c r="I284" s="422"/>
      <c r="J284" s="422"/>
      <c r="K284" s="422"/>
      <c r="L284" s="422"/>
      <c r="N284" s="57">
        <f t="shared" si="99"/>
        <v>0</v>
      </c>
    </row>
    <row r="285" spans="1:16" s="32" customFormat="1" x14ac:dyDescent="0.25">
      <c r="A285" s="422" t="s">
        <v>105</v>
      </c>
      <c r="B285" s="422"/>
      <c r="C285" s="422"/>
      <c r="D285" s="422"/>
      <c r="E285" s="422"/>
      <c r="F285" s="422"/>
      <c r="G285" s="422"/>
      <c r="H285" s="422"/>
      <c r="I285" s="422"/>
      <c r="J285" s="422"/>
      <c r="K285" s="422"/>
      <c r="L285" s="422"/>
      <c r="N285" s="57">
        <f t="shared" si="99"/>
        <v>0</v>
      </c>
    </row>
    <row r="286" spans="1:16" s="32" customFormat="1" x14ac:dyDescent="0.25">
      <c r="A286" s="422" t="s">
        <v>106</v>
      </c>
      <c r="B286" s="422"/>
      <c r="C286" s="422"/>
      <c r="D286" s="422"/>
      <c r="E286" s="422"/>
      <c r="F286" s="422"/>
      <c r="G286" s="422"/>
      <c r="H286" s="422"/>
      <c r="I286" s="422"/>
      <c r="J286" s="422"/>
      <c r="K286" s="422"/>
      <c r="L286" s="422"/>
      <c r="N286" s="57">
        <f t="shared" si="99"/>
        <v>0</v>
      </c>
    </row>
    <row r="287" spans="1:16" s="32" customFormat="1" x14ac:dyDescent="0.25">
      <c r="A287" s="30"/>
      <c r="B287" s="31"/>
      <c r="E287" s="57"/>
      <c r="F287" s="57"/>
      <c r="G287" s="57"/>
      <c r="H287" s="57"/>
      <c r="I287" s="212"/>
      <c r="J287" s="57"/>
      <c r="K287" s="57"/>
      <c r="L287" s="57"/>
      <c r="N287" s="57">
        <f t="shared" ref="N287:N334" si="140">I287-P287</f>
        <v>0</v>
      </c>
      <c r="P287" s="57"/>
    </row>
    <row r="288" spans="1:16" s="32" customFormat="1" x14ac:dyDescent="0.25">
      <c r="A288" s="30"/>
      <c r="B288" s="31"/>
      <c r="E288" s="57"/>
      <c r="F288" s="57"/>
      <c r="G288" s="57"/>
      <c r="H288" s="57"/>
      <c r="I288" s="212"/>
      <c r="J288" s="57"/>
      <c r="K288" s="57"/>
      <c r="L288" s="57"/>
      <c r="N288" s="57">
        <f t="shared" si="140"/>
        <v>0</v>
      </c>
      <c r="P288" s="57"/>
    </row>
    <row r="289" spans="2:18" s="32" customFormat="1" x14ac:dyDescent="0.25">
      <c r="B289" s="31" t="s">
        <v>163</v>
      </c>
      <c r="E289" s="57"/>
      <c r="F289" s="57"/>
      <c r="G289" s="57"/>
      <c r="H289" s="57"/>
      <c r="I289" s="212"/>
      <c r="J289" s="57"/>
      <c r="K289" s="57"/>
      <c r="L289" s="57"/>
      <c r="N289" s="57">
        <f t="shared" si="140"/>
        <v>0</v>
      </c>
      <c r="P289" s="57"/>
      <c r="R289" s="105"/>
    </row>
    <row r="290" spans="2:18" s="32" customFormat="1" x14ac:dyDescent="0.25">
      <c r="B290" s="31"/>
      <c r="E290" s="57">
        <f>E207-E215-E222</f>
        <v>0</v>
      </c>
      <c r="F290" s="57">
        <f t="shared" ref="F290:L290" si="141">F207-F215-F222</f>
        <v>0</v>
      </c>
      <c r="G290" s="57">
        <f t="shared" si="141"/>
        <v>0</v>
      </c>
      <c r="H290" s="57">
        <f t="shared" si="141"/>
        <v>0</v>
      </c>
      <c r="I290" s="212">
        <f t="shared" si="141"/>
        <v>0</v>
      </c>
      <c r="J290" s="57">
        <f t="shared" si="141"/>
        <v>0</v>
      </c>
      <c r="K290" s="57">
        <f t="shared" si="141"/>
        <v>0</v>
      </c>
      <c r="L290" s="57">
        <f t="shared" si="141"/>
        <v>0</v>
      </c>
      <c r="N290" s="57">
        <f t="shared" si="140"/>
        <v>0</v>
      </c>
      <c r="P290" s="57">
        <f t="shared" ref="P290:P296" si="142">P207-P215-P222</f>
        <v>0</v>
      </c>
      <c r="R290" s="105"/>
    </row>
    <row r="291" spans="2:18" s="32" customFormat="1" x14ac:dyDescent="0.25">
      <c r="B291" s="31"/>
      <c r="E291" s="57">
        <f t="shared" ref="E291:L296" si="143">E208-E216-E223</f>
        <v>0</v>
      </c>
      <c r="F291" s="57">
        <f t="shared" si="143"/>
        <v>0</v>
      </c>
      <c r="G291" s="57">
        <f t="shared" si="143"/>
        <v>0</v>
      </c>
      <c r="H291" s="57">
        <f t="shared" si="143"/>
        <v>0</v>
      </c>
      <c r="I291" s="212">
        <f t="shared" si="143"/>
        <v>0</v>
      </c>
      <c r="J291" s="57">
        <f t="shared" si="143"/>
        <v>0</v>
      </c>
      <c r="K291" s="57">
        <f t="shared" si="143"/>
        <v>0</v>
      </c>
      <c r="L291" s="57">
        <f t="shared" si="143"/>
        <v>0</v>
      </c>
      <c r="N291" s="57">
        <f t="shared" si="140"/>
        <v>0</v>
      </c>
      <c r="P291" s="57">
        <f t="shared" si="142"/>
        <v>0</v>
      </c>
      <c r="R291" s="105"/>
    </row>
    <row r="292" spans="2:18" s="32" customFormat="1" x14ac:dyDescent="0.25">
      <c r="B292" s="31"/>
      <c r="E292" s="57">
        <f t="shared" si="143"/>
        <v>0</v>
      </c>
      <c r="F292" s="57">
        <f t="shared" si="143"/>
        <v>0</v>
      </c>
      <c r="G292" s="57">
        <f t="shared" si="143"/>
        <v>0</v>
      </c>
      <c r="H292" s="57">
        <f t="shared" si="143"/>
        <v>0</v>
      </c>
      <c r="I292" s="212">
        <f t="shared" si="143"/>
        <v>0</v>
      </c>
      <c r="J292" s="57">
        <f t="shared" si="143"/>
        <v>0</v>
      </c>
      <c r="K292" s="57">
        <f t="shared" si="143"/>
        <v>0</v>
      </c>
      <c r="L292" s="57">
        <f t="shared" si="143"/>
        <v>0</v>
      </c>
      <c r="N292" s="57">
        <f t="shared" si="140"/>
        <v>0</v>
      </c>
      <c r="P292" s="57">
        <f t="shared" si="142"/>
        <v>0</v>
      </c>
      <c r="R292" s="105"/>
    </row>
    <row r="293" spans="2:18" s="32" customFormat="1" x14ac:dyDescent="0.25">
      <c r="B293" s="31"/>
      <c r="E293" s="57">
        <f t="shared" si="143"/>
        <v>0</v>
      </c>
      <c r="F293" s="57">
        <f t="shared" si="143"/>
        <v>0</v>
      </c>
      <c r="G293" s="57">
        <f t="shared" si="143"/>
        <v>0</v>
      </c>
      <c r="H293" s="57">
        <f t="shared" si="143"/>
        <v>0</v>
      </c>
      <c r="I293" s="212">
        <f t="shared" si="143"/>
        <v>0</v>
      </c>
      <c r="J293" s="57">
        <f t="shared" si="143"/>
        <v>0</v>
      </c>
      <c r="K293" s="57">
        <f t="shared" si="143"/>
        <v>0</v>
      </c>
      <c r="L293" s="57">
        <f t="shared" si="143"/>
        <v>0</v>
      </c>
      <c r="N293" s="57">
        <f t="shared" si="140"/>
        <v>0</v>
      </c>
      <c r="P293" s="57">
        <f t="shared" si="142"/>
        <v>0</v>
      </c>
      <c r="R293" s="105"/>
    </row>
    <row r="294" spans="2:18" s="32" customFormat="1" x14ac:dyDescent="0.25">
      <c r="B294" s="31"/>
      <c r="E294" s="57">
        <f t="shared" si="143"/>
        <v>0</v>
      </c>
      <c r="F294" s="57">
        <f t="shared" si="143"/>
        <v>0</v>
      </c>
      <c r="G294" s="57">
        <f t="shared" si="143"/>
        <v>0</v>
      </c>
      <c r="H294" s="57">
        <f t="shared" si="143"/>
        <v>0</v>
      </c>
      <c r="I294" s="212">
        <f t="shared" si="143"/>
        <v>0</v>
      </c>
      <c r="J294" s="57">
        <f t="shared" si="143"/>
        <v>0</v>
      </c>
      <c r="K294" s="57">
        <f t="shared" si="143"/>
        <v>0</v>
      </c>
      <c r="L294" s="57">
        <f t="shared" si="143"/>
        <v>0</v>
      </c>
      <c r="N294" s="57">
        <f t="shared" si="140"/>
        <v>0</v>
      </c>
      <c r="P294" s="57">
        <f t="shared" si="142"/>
        <v>0</v>
      </c>
      <c r="R294" s="105"/>
    </row>
    <row r="295" spans="2:18" s="32" customFormat="1" x14ac:dyDescent="0.25">
      <c r="B295" s="31"/>
      <c r="E295" s="57">
        <f t="shared" si="143"/>
        <v>0</v>
      </c>
      <c r="F295" s="57">
        <f t="shared" si="143"/>
        <v>0</v>
      </c>
      <c r="G295" s="57">
        <f t="shared" si="143"/>
        <v>0</v>
      </c>
      <c r="H295" s="57">
        <f t="shared" si="143"/>
        <v>0</v>
      </c>
      <c r="I295" s="212">
        <f t="shared" si="143"/>
        <v>0</v>
      </c>
      <c r="J295" s="57">
        <f t="shared" si="143"/>
        <v>0</v>
      </c>
      <c r="K295" s="57">
        <f t="shared" si="143"/>
        <v>0</v>
      </c>
      <c r="L295" s="57">
        <f t="shared" si="143"/>
        <v>0</v>
      </c>
      <c r="N295" s="57">
        <f t="shared" si="140"/>
        <v>0</v>
      </c>
      <c r="P295" s="57">
        <f t="shared" si="142"/>
        <v>0</v>
      </c>
      <c r="R295" s="105"/>
    </row>
    <row r="296" spans="2:18" s="32" customFormat="1" x14ac:dyDescent="0.25">
      <c r="B296" s="31"/>
      <c r="E296" s="57">
        <f t="shared" si="143"/>
        <v>0</v>
      </c>
      <c r="F296" s="57">
        <f t="shared" si="143"/>
        <v>0</v>
      </c>
      <c r="G296" s="57">
        <f t="shared" si="143"/>
        <v>0</v>
      </c>
      <c r="H296" s="57">
        <f t="shared" si="143"/>
        <v>0</v>
      </c>
      <c r="I296" s="212">
        <f t="shared" si="143"/>
        <v>0</v>
      </c>
      <c r="J296" s="57">
        <f t="shared" si="143"/>
        <v>0</v>
      </c>
      <c r="K296" s="57">
        <f t="shared" si="143"/>
        <v>0</v>
      </c>
      <c r="L296" s="57">
        <f t="shared" si="143"/>
        <v>0</v>
      </c>
      <c r="N296" s="57">
        <f t="shared" si="140"/>
        <v>0</v>
      </c>
      <c r="P296" s="57">
        <f t="shared" si="142"/>
        <v>0</v>
      </c>
      <c r="R296" s="105"/>
    </row>
    <row r="297" spans="2:18" s="32" customFormat="1" x14ac:dyDescent="0.25">
      <c r="B297" s="31"/>
      <c r="E297" s="57"/>
      <c r="F297" s="57"/>
      <c r="G297" s="57"/>
      <c r="H297" s="57"/>
      <c r="I297" s="212"/>
      <c r="J297" s="57"/>
      <c r="K297" s="57"/>
      <c r="L297" s="57"/>
      <c r="N297" s="57">
        <f t="shared" si="140"/>
        <v>0</v>
      </c>
      <c r="P297" s="57"/>
      <c r="R297" s="105"/>
    </row>
    <row r="298" spans="2:18" s="32" customFormat="1" x14ac:dyDescent="0.25">
      <c r="B298" s="31"/>
      <c r="E298" s="57"/>
      <c r="F298" s="57"/>
      <c r="G298" s="57"/>
      <c r="H298" s="57"/>
      <c r="I298" s="212"/>
      <c r="J298" s="57"/>
      <c r="K298" s="57"/>
      <c r="L298" s="57"/>
      <c r="N298" s="57">
        <f t="shared" si="140"/>
        <v>0</v>
      </c>
      <c r="P298" s="57"/>
      <c r="R298" s="105"/>
    </row>
    <row r="299" spans="2:18" s="32" customFormat="1" x14ac:dyDescent="0.25">
      <c r="B299" s="31"/>
      <c r="E299" s="57"/>
      <c r="F299" s="57"/>
      <c r="G299" s="57"/>
      <c r="H299" s="57"/>
      <c r="I299" s="212"/>
      <c r="J299" s="57"/>
      <c r="K299" s="57"/>
      <c r="L299" s="57"/>
      <c r="N299" s="57">
        <f t="shared" si="140"/>
        <v>0</v>
      </c>
      <c r="P299" s="57"/>
      <c r="R299" s="105"/>
    </row>
    <row r="300" spans="2:18" s="32" customFormat="1" x14ac:dyDescent="0.25">
      <c r="B300" s="31"/>
      <c r="E300" s="57">
        <f>E207-E230-E237</f>
        <v>0</v>
      </c>
      <c r="F300" s="57">
        <f t="shared" ref="F300:L300" si="144">F207-F230-F237</f>
        <v>0</v>
      </c>
      <c r="G300" s="57">
        <f t="shared" si="144"/>
        <v>0</v>
      </c>
      <c r="H300" s="57">
        <f t="shared" si="144"/>
        <v>0</v>
      </c>
      <c r="I300" s="212">
        <f t="shared" si="144"/>
        <v>0</v>
      </c>
      <c r="J300" s="57">
        <f t="shared" si="144"/>
        <v>0</v>
      </c>
      <c r="K300" s="57">
        <f t="shared" si="144"/>
        <v>0</v>
      </c>
      <c r="L300" s="57">
        <f t="shared" si="144"/>
        <v>0</v>
      </c>
      <c r="N300" s="57">
        <f t="shared" si="140"/>
        <v>0</v>
      </c>
      <c r="P300" s="57">
        <f t="shared" ref="P300:P306" si="145">P207-P230-P237</f>
        <v>0</v>
      </c>
      <c r="R300" s="105"/>
    </row>
    <row r="301" spans="2:18" s="32" customFormat="1" x14ac:dyDescent="0.25">
      <c r="B301" s="31"/>
      <c r="E301" s="57">
        <f t="shared" ref="E301:L306" si="146">E208-E231-E238</f>
        <v>0</v>
      </c>
      <c r="F301" s="57">
        <f t="shared" si="146"/>
        <v>0</v>
      </c>
      <c r="G301" s="57">
        <f t="shared" si="146"/>
        <v>0</v>
      </c>
      <c r="H301" s="57">
        <f t="shared" si="146"/>
        <v>0</v>
      </c>
      <c r="I301" s="212">
        <f t="shared" si="146"/>
        <v>0</v>
      </c>
      <c r="J301" s="57">
        <f t="shared" si="146"/>
        <v>0</v>
      </c>
      <c r="K301" s="57">
        <f t="shared" si="146"/>
        <v>0</v>
      </c>
      <c r="L301" s="57">
        <f t="shared" si="146"/>
        <v>0</v>
      </c>
      <c r="N301" s="57">
        <f t="shared" si="140"/>
        <v>0</v>
      </c>
      <c r="P301" s="57">
        <f t="shared" si="145"/>
        <v>0</v>
      </c>
      <c r="R301" s="105"/>
    </row>
    <row r="302" spans="2:18" s="32" customFormat="1" x14ac:dyDescent="0.25">
      <c r="B302" s="31"/>
      <c r="E302" s="57">
        <f t="shared" si="146"/>
        <v>0</v>
      </c>
      <c r="F302" s="57">
        <f t="shared" si="146"/>
        <v>0</v>
      </c>
      <c r="G302" s="57">
        <f t="shared" si="146"/>
        <v>0</v>
      </c>
      <c r="H302" s="57">
        <f t="shared" si="146"/>
        <v>0</v>
      </c>
      <c r="I302" s="212">
        <f t="shared" si="146"/>
        <v>0</v>
      </c>
      <c r="J302" s="57">
        <f t="shared" si="146"/>
        <v>0</v>
      </c>
      <c r="K302" s="57">
        <f t="shared" si="146"/>
        <v>0</v>
      </c>
      <c r="L302" s="57">
        <f t="shared" si="146"/>
        <v>0</v>
      </c>
      <c r="N302" s="57">
        <f t="shared" si="140"/>
        <v>0</v>
      </c>
      <c r="P302" s="57">
        <f t="shared" si="145"/>
        <v>0</v>
      </c>
      <c r="R302" s="105"/>
    </row>
    <row r="303" spans="2:18" s="32" customFormat="1" x14ac:dyDescent="0.25">
      <c r="B303" s="31"/>
      <c r="E303" s="57">
        <f t="shared" si="146"/>
        <v>0</v>
      </c>
      <c r="F303" s="57">
        <f t="shared" si="146"/>
        <v>0</v>
      </c>
      <c r="G303" s="57">
        <f t="shared" si="146"/>
        <v>0</v>
      </c>
      <c r="H303" s="57">
        <f t="shared" si="146"/>
        <v>0</v>
      </c>
      <c r="I303" s="212">
        <f t="shared" si="146"/>
        <v>0</v>
      </c>
      <c r="J303" s="57">
        <f t="shared" si="146"/>
        <v>0</v>
      </c>
      <c r="K303" s="57">
        <f t="shared" si="146"/>
        <v>0</v>
      </c>
      <c r="L303" s="57">
        <f t="shared" si="146"/>
        <v>0</v>
      </c>
      <c r="N303" s="57">
        <f t="shared" si="140"/>
        <v>0</v>
      </c>
      <c r="P303" s="57">
        <f t="shared" si="145"/>
        <v>0</v>
      </c>
      <c r="R303" s="105"/>
    </row>
    <row r="304" spans="2:18" s="32" customFormat="1" x14ac:dyDescent="0.25">
      <c r="B304" s="31"/>
      <c r="E304" s="57">
        <f t="shared" si="146"/>
        <v>0</v>
      </c>
      <c r="F304" s="57">
        <f t="shared" si="146"/>
        <v>0</v>
      </c>
      <c r="G304" s="57">
        <f t="shared" si="146"/>
        <v>0</v>
      </c>
      <c r="H304" s="57">
        <f t="shared" si="146"/>
        <v>0</v>
      </c>
      <c r="I304" s="212">
        <f t="shared" si="146"/>
        <v>0</v>
      </c>
      <c r="J304" s="57">
        <f t="shared" si="146"/>
        <v>0</v>
      </c>
      <c r="K304" s="57">
        <f t="shared" si="146"/>
        <v>0</v>
      </c>
      <c r="L304" s="57">
        <f t="shared" si="146"/>
        <v>0</v>
      </c>
      <c r="N304" s="57">
        <f t="shared" si="140"/>
        <v>0</v>
      </c>
      <c r="P304" s="57">
        <f t="shared" si="145"/>
        <v>0</v>
      </c>
      <c r="R304" s="105"/>
    </row>
    <row r="305" spans="5:18" s="32" customFormat="1" x14ac:dyDescent="0.25">
      <c r="E305" s="57">
        <f t="shared" si="146"/>
        <v>0</v>
      </c>
      <c r="F305" s="57">
        <f t="shared" si="146"/>
        <v>0</v>
      </c>
      <c r="G305" s="57">
        <f t="shared" si="146"/>
        <v>0</v>
      </c>
      <c r="H305" s="57">
        <f t="shared" si="146"/>
        <v>0</v>
      </c>
      <c r="I305" s="212">
        <f t="shared" si="146"/>
        <v>0</v>
      </c>
      <c r="J305" s="57">
        <f t="shared" si="146"/>
        <v>0</v>
      </c>
      <c r="K305" s="57">
        <f t="shared" si="146"/>
        <v>0</v>
      </c>
      <c r="L305" s="57">
        <f t="shared" si="146"/>
        <v>0</v>
      </c>
      <c r="N305" s="57">
        <f t="shared" si="140"/>
        <v>0</v>
      </c>
      <c r="P305" s="57">
        <f t="shared" si="145"/>
        <v>0</v>
      </c>
      <c r="R305" s="105"/>
    </row>
    <row r="306" spans="5:18" s="32" customFormat="1" x14ac:dyDescent="0.25">
      <c r="E306" s="57">
        <f t="shared" si="146"/>
        <v>0</v>
      </c>
      <c r="F306" s="57">
        <f t="shared" si="146"/>
        <v>0</v>
      </c>
      <c r="G306" s="57">
        <f t="shared" si="146"/>
        <v>0</v>
      </c>
      <c r="H306" s="57">
        <f t="shared" si="146"/>
        <v>0</v>
      </c>
      <c r="I306" s="212">
        <f t="shared" si="146"/>
        <v>0</v>
      </c>
      <c r="J306" s="57">
        <f t="shared" si="146"/>
        <v>0</v>
      </c>
      <c r="K306" s="57">
        <f t="shared" si="146"/>
        <v>0</v>
      </c>
      <c r="L306" s="57">
        <f t="shared" si="146"/>
        <v>0</v>
      </c>
      <c r="N306" s="57">
        <f t="shared" si="140"/>
        <v>0</v>
      </c>
      <c r="P306" s="57">
        <f t="shared" si="145"/>
        <v>0</v>
      </c>
      <c r="R306" s="105"/>
    </row>
    <row r="307" spans="5:18" s="32" customFormat="1" x14ac:dyDescent="0.25">
      <c r="E307" s="57"/>
      <c r="F307" s="57"/>
      <c r="G307" s="57"/>
      <c r="H307" s="57"/>
      <c r="I307" s="212"/>
      <c r="J307" s="57"/>
      <c r="K307" s="57"/>
      <c r="L307" s="57"/>
      <c r="N307" s="57">
        <f t="shared" si="140"/>
        <v>0</v>
      </c>
      <c r="P307" s="57"/>
      <c r="R307" s="105"/>
    </row>
    <row r="308" spans="5:18" s="32" customFormat="1" x14ac:dyDescent="0.25">
      <c r="E308" s="57">
        <f>E207-E245-E252-E259-E266-E273</f>
        <v>-2.7830537874251604E-10</v>
      </c>
      <c r="F308" s="57">
        <f t="shared" ref="F308:L308" si="147">F207-F245-F252-F259-F266-F273</f>
        <v>5.3432813729159534E-11</v>
      </c>
      <c r="G308" s="57">
        <f t="shared" si="147"/>
        <v>-9.0722096501849592E-11</v>
      </c>
      <c r="H308" s="57">
        <f t="shared" si="147"/>
        <v>1.4802026271354407E-10</v>
      </c>
      <c r="I308" s="212">
        <f t="shared" si="147"/>
        <v>3.979039320256561E-11</v>
      </c>
      <c r="J308" s="57">
        <f t="shared" si="147"/>
        <v>9.9134922493249178E-11</v>
      </c>
      <c r="K308" s="57">
        <f t="shared" si="147"/>
        <v>-1.7280399333685637E-11</v>
      </c>
      <c r="L308" s="57">
        <f t="shared" si="147"/>
        <v>1.8917489796876907E-10</v>
      </c>
      <c r="N308" s="57">
        <f t="shared" si="140"/>
        <v>1.4438228390645236E-10</v>
      </c>
      <c r="P308" s="57">
        <f t="shared" ref="P308:P314" si="148">P207-P245-P252-P259-P266-P273</f>
        <v>-1.0459189070388675E-10</v>
      </c>
      <c r="R308" s="105"/>
    </row>
    <row r="309" spans="5:18" s="32" customFormat="1" x14ac:dyDescent="0.25">
      <c r="E309" s="57">
        <f t="shared" ref="E309:L314" si="149">E208-E246-E253-E260-E267-E274</f>
        <v>0</v>
      </c>
      <c r="F309" s="57">
        <f t="shared" si="149"/>
        <v>0</v>
      </c>
      <c r="G309" s="57">
        <f t="shared" si="149"/>
        <v>0</v>
      </c>
      <c r="H309" s="57">
        <f t="shared" si="149"/>
        <v>0</v>
      </c>
      <c r="I309" s="212">
        <f t="shared" si="149"/>
        <v>0</v>
      </c>
      <c r="J309" s="57">
        <f t="shared" si="149"/>
        <v>0</v>
      </c>
      <c r="K309" s="57">
        <f t="shared" si="149"/>
        <v>0</v>
      </c>
      <c r="L309" s="57">
        <f t="shared" si="149"/>
        <v>0</v>
      </c>
      <c r="N309" s="57">
        <f t="shared" si="140"/>
        <v>0</v>
      </c>
      <c r="P309" s="57">
        <f t="shared" si="148"/>
        <v>0</v>
      </c>
      <c r="R309" s="105"/>
    </row>
    <row r="310" spans="5:18" s="32" customFormat="1" x14ac:dyDescent="0.25">
      <c r="E310" s="57">
        <f t="shared" si="149"/>
        <v>0</v>
      </c>
      <c r="F310" s="57">
        <f t="shared" si="149"/>
        <v>0</v>
      </c>
      <c r="G310" s="57">
        <f t="shared" si="149"/>
        <v>0</v>
      </c>
      <c r="H310" s="57">
        <f t="shared" si="149"/>
        <v>0</v>
      </c>
      <c r="I310" s="212">
        <f t="shared" si="149"/>
        <v>0</v>
      </c>
      <c r="J310" s="57">
        <f t="shared" si="149"/>
        <v>0</v>
      </c>
      <c r="K310" s="57">
        <f t="shared" si="149"/>
        <v>0</v>
      </c>
      <c r="L310" s="57">
        <f t="shared" si="149"/>
        <v>0</v>
      </c>
      <c r="N310" s="57">
        <f t="shared" si="140"/>
        <v>0</v>
      </c>
      <c r="P310" s="57">
        <f t="shared" si="148"/>
        <v>0</v>
      </c>
      <c r="R310" s="105"/>
    </row>
    <row r="311" spans="5:18" s="32" customFormat="1" x14ac:dyDescent="0.25">
      <c r="E311" s="57">
        <f t="shared" si="149"/>
        <v>-2.7830537874251604E-10</v>
      </c>
      <c r="F311" s="57">
        <f t="shared" si="149"/>
        <v>-4.7748471843078732E-12</v>
      </c>
      <c r="G311" s="57">
        <f t="shared" si="149"/>
        <v>-9.0722096501849592E-11</v>
      </c>
      <c r="H311" s="57">
        <f t="shared" si="149"/>
        <v>3.1604940886609256E-11</v>
      </c>
      <c r="I311" s="212">
        <f t="shared" si="149"/>
        <v>9.7998054116033018E-11</v>
      </c>
      <c r="J311" s="57">
        <f t="shared" si="149"/>
        <v>1.1823431123048067E-11</v>
      </c>
      <c r="K311" s="57">
        <f t="shared" si="149"/>
        <v>-2.7284841053187847E-12</v>
      </c>
      <c r="L311" s="57">
        <f t="shared" si="149"/>
        <v>-4.3655745685100555E-11</v>
      </c>
      <c r="N311" s="57">
        <f t="shared" si="140"/>
        <v>8.6174622992984951E-11</v>
      </c>
      <c r="P311" s="57">
        <f t="shared" si="148"/>
        <v>1.1823431123048067E-11</v>
      </c>
      <c r="R311" s="105"/>
    </row>
    <row r="312" spans="5:18" s="32" customFormat="1" x14ac:dyDescent="0.25">
      <c r="E312" s="57">
        <f t="shared" si="149"/>
        <v>0</v>
      </c>
      <c r="F312" s="57">
        <f t="shared" si="149"/>
        <v>0</v>
      </c>
      <c r="G312" s="57">
        <f t="shared" si="149"/>
        <v>0</v>
      </c>
      <c r="H312" s="57">
        <f t="shared" si="149"/>
        <v>0</v>
      </c>
      <c r="I312" s="212">
        <f t="shared" si="149"/>
        <v>0</v>
      </c>
      <c r="J312" s="57">
        <f t="shared" si="149"/>
        <v>0</v>
      </c>
      <c r="K312" s="57">
        <f t="shared" si="149"/>
        <v>0</v>
      </c>
      <c r="L312" s="57">
        <f t="shared" si="149"/>
        <v>0</v>
      </c>
      <c r="N312" s="57">
        <f t="shared" si="140"/>
        <v>0</v>
      </c>
      <c r="P312" s="57">
        <f t="shared" si="148"/>
        <v>0</v>
      </c>
      <c r="R312" s="105"/>
    </row>
    <row r="313" spans="5:18" s="32" customFormat="1" x14ac:dyDescent="0.25">
      <c r="E313" s="57">
        <f t="shared" si="149"/>
        <v>0</v>
      </c>
      <c r="F313" s="57">
        <f t="shared" si="149"/>
        <v>0</v>
      </c>
      <c r="G313" s="57">
        <f t="shared" si="149"/>
        <v>0</v>
      </c>
      <c r="H313" s="57">
        <f t="shared" si="149"/>
        <v>0</v>
      </c>
      <c r="I313" s="212">
        <f t="shared" si="149"/>
        <v>0</v>
      </c>
      <c r="J313" s="57">
        <f t="shared" si="149"/>
        <v>0</v>
      </c>
      <c r="K313" s="57">
        <f t="shared" si="149"/>
        <v>0</v>
      </c>
      <c r="L313" s="57">
        <f t="shared" si="149"/>
        <v>0</v>
      </c>
      <c r="N313" s="57">
        <f t="shared" si="140"/>
        <v>0</v>
      </c>
      <c r="P313" s="57">
        <f t="shared" si="148"/>
        <v>0</v>
      </c>
      <c r="R313" s="105"/>
    </row>
    <row r="314" spans="5:18" s="32" customFormat="1" x14ac:dyDescent="0.25">
      <c r="E314" s="57">
        <f t="shared" si="149"/>
        <v>-5.8207660913467407E-11</v>
      </c>
      <c r="F314" s="57">
        <f t="shared" si="149"/>
        <v>0</v>
      </c>
      <c r="G314" s="57">
        <f t="shared" si="149"/>
        <v>0</v>
      </c>
      <c r="H314" s="57">
        <f t="shared" si="149"/>
        <v>0</v>
      </c>
      <c r="I314" s="212">
        <f t="shared" si="149"/>
        <v>0</v>
      </c>
      <c r="J314" s="57">
        <f t="shared" si="149"/>
        <v>0</v>
      </c>
      <c r="K314" s="57">
        <f t="shared" si="149"/>
        <v>1.4551915228366852E-11</v>
      </c>
      <c r="L314" s="57">
        <f t="shared" si="149"/>
        <v>-2.9103830456733704E-11</v>
      </c>
      <c r="N314" s="57">
        <f t="shared" si="140"/>
        <v>0</v>
      </c>
      <c r="P314" s="57">
        <f t="shared" si="148"/>
        <v>0</v>
      </c>
      <c r="R314" s="105"/>
    </row>
    <row r="315" spans="5:18" s="32" customFormat="1" x14ac:dyDescent="0.25">
      <c r="E315" s="57"/>
      <c r="F315" s="57"/>
      <c r="G315" s="57"/>
      <c r="H315" s="57"/>
      <c r="I315" s="212"/>
      <c r="J315" s="57"/>
      <c r="K315" s="57"/>
      <c r="L315" s="57"/>
      <c r="N315" s="57">
        <f t="shared" si="140"/>
        <v>0</v>
      </c>
      <c r="P315" s="57"/>
      <c r="R315" s="105"/>
    </row>
    <row r="316" spans="5:18" s="32" customFormat="1" x14ac:dyDescent="0.25">
      <c r="E316" s="57"/>
      <c r="F316" s="57"/>
      <c r="G316" s="57"/>
      <c r="H316" s="57"/>
      <c r="I316" s="212"/>
      <c r="J316" s="57"/>
      <c r="K316" s="57"/>
      <c r="L316" s="57"/>
      <c r="N316" s="57">
        <f t="shared" si="140"/>
        <v>0</v>
      </c>
      <c r="P316" s="57"/>
      <c r="R316" s="105"/>
    </row>
    <row r="317" spans="5:18" s="32" customFormat="1" x14ac:dyDescent="0.25">
      <c r="E317" s="57">
        <f t="shared" ref="E317:L323" si="150">E207-E200-E164-E72</f>
        <v>0</v>
      </c>
      <c r="F317" s="57">
        <f t="shared" si="150"/>
        <v>0</v>
      </c>
      <c r="G317" s="57">
        <f t="shared" si="150"/>
        <v>0</v>
      </c>
      <c r="H317" s="57">
        <f t="shared" si="150"/>
        <v>0</v>
      </c>
      <c r="I317" s="212">
        <f t="shared" si="150"/>
        <v>0</v>
      </c>
      <c r="J317" s="57">
        <f t="shared" si="150"/>
        <v>0</v>
      </c>
      <c r="K317" s="57">
        <f t="shared" si="150"/>
        <v>0</v>
      </c>
      <c r="L317" s="57">
        <f t="shared" si="150"/>
        <v>4.6566128730773926E-10</v>
      </c>
      <c r="N317" s="57">
        <f t="shared" si="140"/>
        <v>0</v>
      </c>
      <c r="P317" s="57">
        <f t="shared" ref="P317:P323" si="151">P207-P200-P164-P72</f>
        <v>0</v>
      </c>
      <c r="R317" s="105"/>
    </row>
    <row r="318" spans="5:18" s="32" customFormat="1" x14ac:dyDescent="0.25">
      <c r="E318" s="57">
        <f t="shared" si="150"/>
        <v>0</v>
      </c>
      <c r="F318" s="57">
        <f t="shared" si="150"/>
        <v>0</v>
      </c>
      <c r="G318" s="57">
        <f t="shared" si="150"/>
        <v>0</v>
      </c>
      <c r="H318" s="57">
        <f t="shared" si="150"/>
        <v>0</v>
      </c>
      <c r="I318" s="212">
        <f t="shared" si="150"/>
        <v>0</v>
      </c>
      <c r="J318" s="57">
        <f t="shared" si="150"/>
        <v>0</v>
      </c>
      <c r="K318" s="57">
        <f t="shared" si="150"/>
        <v>0</v>
      </c>
      <c r="L318" s="57">
        <f t="shared" si="150"/>
        <v>0</v>
      </c>
      <c r="N318" s="57">
        <f t="shared" si="140"/>
        <v>0</v>
      </c>
      <c r="P318" s="57">
        <f t="shared" si="151"/>
        <v>0</v>
      </c>
      <c r="R318" s="105"/>
    </row>
    <row r="319" spans="5:18" s="32" customFormat="1" x14ac:dyDescent="0.25">
      <c r="E319" s="57">
        <f t="shared" si="150"/>
        <v>0</v>
      </c>
      <c r="F319" s="57">
        <f t="shared" si="150"/>
        <v>0</v>
      </c>
      <c r="G319" s="57">
        <f t="shared" si="150"/>
        <v>0</v>
      </c>
      <c r="H319" s="57">
        <f t="shared" si="150"/>
        <v>0</v>
      </c>
      <c r="I319" s="212">
        <f t="shared" si="150"/>
        <v>0</v>
      </c>
      <c r="J319" s="57">
        <f t="shared" si="150"/>
        <v>0</v>
      </c>
      <c r="K319" s="57">
        <f t="shared" si="150"/>
        <v>0</v>
      </c>
      <c r="L319" s="57">
        <f t="shared" si="150"/>
        <v>0</v>
      </c>
      <c r="N319" s="57">
        <f t="shared" si="140"/>
        <v>0</v>
      </c>
      <c r="P319" s="57">
        <f t="shared" si="151"/>
        <v>0</v>
      </c>
      <c r="R319" s="105"/>
    </row>
    <row r="320" spans="5:18" s="32" customFormat="1" x14ac:dyDescent="0.25">
      <c r="E320" s="57">
        <f t="shared" si="150"/>
        <v>0</v>
      </c>
      <c r="F320" s="57">
        <f t="shared" si="150"/>
        <v>0</v>
      </c>
      <c r="G320" s="57">
        <f t="shared" si="150"/>
        <v>0</v>
      </c>
      <c r="H320" s="57">
        <f t="shared" si="150"/>
        <v>0</v>
      </c>
      <c r="I320" s="212">
        <f t="shared" si="150"/>
        <v>0</v>
      </c>
      <c r="J320" s="57">
        <f t="shared" si="150"/>
        <v>-5.9117155615240335E-12</v>
      </c>
      <c r="K320" s="57">
        <f t="shared" si="150"/>
        <v>0</v>
      </c>
      <c r="L320" s="57">
        <f t="shared" si="150"/>
        <v>0</v>
      </c>
      <c r="N320" s="57">
        <f t="shared" si="140"/>
        <v>0</v>
      </c>
      <c r="P320" s="57">
        <f t="shared" si="151"/>
        <v>0</v>
      </c>
      <c r="R320" s="105"/>
    </row>
    <row r="321" spans="3:18" s="32" customFormat="1" x14ac:dyDescent="0.25">
      <c r="E321" s="57">
        <f t="shared" si="150"/>
        <v>0</v>
      </c>
      <c r="F321" s="57">
        <f t="shared" si="150"/>
        <v>0</v>
      </c>
      <c r="G321" s="57">
        <f t="shared" si="150"/>
        <v>0</v>
      </c>
      <c r="H321" s="57">
        <f t="shared" si="150"/>
        <v>0</v>
      </c>
      <c r="I321" s="212">
        <f t="shared" si="150"/>
        <v>0</v>
      </c>
      <c r="J321" s="57">
        <f t="shared" si="150"/>
        <v>0</v>
      </c>
      <c r="K321" s="57">
        <f t="shared" si="150"/>
        <v>0</v>
      </c>
      <c r="L321" s="57">
        <f t="shared" si="150"/>
        <v>0</v>
      </c>
      <c r="N321" s="57">
        <f t="shared" si="140"/>
        <v>0</v>
      </c>
      <c r="P321" s="57">
        <f t="shared" si="151"/>
        <v>0</v>
      </c>
      <c r="R321" s="105"/>
    </row>
    <row r="322" spans="3:18" s="32" customFormat="1" x14ac:dyDescent="0.25">
      <c r="E322" s="57">
        <f t="shared" si="150"/>
        <v>0</v>
      </c>
      <c r="F322" s="57">
        <f t="shared" si="150"/>
        <v>0</v>
      </c>
      <c r="G322" s="57">
        <f t="shared" si="150"/>
        <v>0</v>
      </c>
      <c r="H322" s="57">
        <f t="shared" si="150"/>
        <v>0</v>
      </c>
      <c r="I322" s="212">
        <f t="shared" si="150"/>
        <v>0</v>
      </c>
      <c r="J322" s="57">
        <f t="shared" si="150"/>
        <v>0</v>
      </c>
      <c r="K322" s="57">
        <f t="shared" si="150"/>
        <v>0</v>
      </c>
      <c r="L322" s="57">
        <f t="shared" si="150"/>
        <v>0</v>
      </c>
      <c r="N322" s="57">
        <f t="shared" si="140"/>
        <v>0</v>
      </c>
      <c r="P322" s="57">
        <f t="shared" si="151"/>
        <v>0</v>
      </c>
      <c r="R322" s="105"/>
    </row>
    <row r="323" spans="3:18" s="32" customFormat="1" x14ac:dyDescent="0.25">
      <c r="E323" s="57">
        <f t="shared" si="150"/>
        <v>0</v>
      </c>
      <c r="F323" s="57">
        <f t="shared" si="150"/>
        <v>0</v>
      </c>
      <c r="G323" s="57">
        <f t="shared" si="150"/>
        <v>0</v>
      </c>
      <c r="H323" s="57">
        <f t="shared" si="150"/>
        <v>0</v>
      </c>
      <c r="I323" s="212">
        <f t="shared" si="150"/>
        <v>0</v>
      </c>
      <c r="J323" s="57">
        <f t="shared" si="150"/>
        <v>0</v>
      </c>
      <c r="K323" s="57">
        <f t="shared" si="150"/>
        <v>0</v>
      </c>
      <c r="L323" s="57">
        <f t="shared" si="150"/>
        <v>0</v>
      </c>
      <c r="N323" s="57">
        <f t="shared" si="140"/>
        <v>0</v>
      </c>
      <c r="P323" s="57">
        <f t="shared" si="151"/>
        <v>0</v>
      </c>
      <c r="R323" s="105"/>
    </row>
    <row r="324" spans="3:18" s="32" customFormat="1" x14ac:dyDescent="0.25">
      <c r="E324" s="57"/>
      <c r="F324" s="57"/>
      <c r="G324" s="57"/>
      <c r="H324" s="57"/>
      <c r="I324" s="212"/>
      <c r="J324" s="57"/>
      <c r="K324" s="57"/>
      <c r="L324" s="57"/>
      <c r="N324" s="57">
        <f t="shared" si="140"/>
        <v>0</v>
      </c>
      <c r="P324" s="57"/>
      <c r="R324" s="105"/>
    </row>
    <row r="325" spans="3:18" s="32" customFormat="1" x14ac:dyDescent="0.25">
      <c r="C325" s="32" t="s">
        <v>168</v>
      </c>
      <c r="D325" s="32" t="s">
        <v>164</v>
      </c>
      <c r="E325" s="57"/>
      <c r="F325" s="57"/>
      <c r="G325" s="57"/>
      <c r="H325" s="57"/>
      <c r="I325" s="212"/>
      <c r="J325" s="57"/>
      <c r="K325" s="57"/>
      <c r="L325" s="57"/>
      <c r="N325" s="57">
        <f t="shared" si="140"/>
        <v>0</v>
      </c>
      <c r="P325" s="57"/>
      <c r="R325" s="105"/>
    </row>
    <row r="326" spans="3:18" s="32" customFormat="1" x14ac:dyDescent="0.25">
      <c r="D326" s="32" t="s">
        <v>166</v>
      </c>
      <c r="E326" s="58">
        <f>SUM(F326:L326)</f>
        <v>8381.4000000000015</v>
      </c>
      <c r="F326" s="57">
        <v>13.6</v>
      </c>
      <c r="G326" s="57"/>
      <c r="H326" s="57"/>
      <c r="I326" s="212">
        <v>5082.6000000000004</v>
      </c>
      <c r="J326" s="57">
        <v>3202.6</v>
      </c>
      <c r="K326" s="57">
        <v>82.6</v>
      </c>
      <c r="L326" s="57">
        <v>0</v>
      </c>
      <c r="N326" s="57">
        <f t="shared" si="140"/>
        <v>0</v>
      </c>
      <c r="P326" s="57">
        <v>5082.6000000000004</v>
      </c>
      <c r="R326" s="105"/>
    </row>
    <row r="327" spans="3:18" s="32" customFormat="1" x14ac:dyDescent="0.25">
      <c r="D327" s="32" t="s">
        <v>165</v>
      </c>
      <c r="E327" s="58">
        <f t="shared" ref="E327:E328" si="152">SUM(F327:L327)</f>
        <v>22128.733270000001</v>
      </c>
      <c r="F327" s="57">
        <v>6558.7772699999996</v>
      </c>
      <c r="G327" s="57">
        <v>4891.5</v>
      </c>
      <c r="H327" s="57">
        <v>753.9</v>
      </c>
      <c r="I327" s="212">
        <f>2503.256+I275</f>
        <v>3003.2559999999999</v>
      </c>
      <c r="J327" s="57">
        <v>5535.1</v>
      </c>
      <c r="K327" s="57">
        <v>1386.2</v>
      </c>
      <c r="L327" s="57">
        <v>0</v>
      </c>
      <c r="N327" s="57">
        <f t="shared" si="140"/>
        <v>2099.6559999999999</v>
      </c>
      <c r="P327" s="57">
        <v>903.6</v>
      </c>
      <c r="R327" s="105"/>
    </row>
    <row r="328" spans="3:18" s="32" customFormat="1" x14ac:dyDescent="0.25">
      <c r="D328" s="32" t="s">
        <v>167</v>
      </c>
      <c r="E328" s="58">
        <f t="shared" si="152"/>
        <v>4969186.9977599997</v>
      </c>
      <c r="F328" s="57">
        <v>671049.72846999997</v>
      </c>
      <c r="G328" s="57">
        <v>691967.74146000005</v>
      </c>
      <c r="H328" s="57">
        <v>681855.33291999996</v>
      </c>
      <c r="I328" s="212">
        <f>423460.6225+I276+I269+I262</f>
        <v>691617.26303000003</v>
      </c>
      <c r="J328" s="57">
        <f>291874.06836+J276+J269+J262</f>
        <v>294616.26835999999</v>
      </c>
      <c r="K328" s="57">
        <v>276911.52335999999</v>
      </c>
      <c r="L328" s="57">
        <v>1661169.14016</v>
      </c>
      <c r="N328" s="57">
        <f t="shared" si="140"/>
        <v>267428.59956</v>
      </c>
      <c r="P328" s="57">
        <f>400643.33581+P262+P269</f>
        <v>424188.66347000003</v>
      </c>
      <c r="R328" s="105"/>
    </row>
    <row r="329" spans="3:18" s="32" customFormat="1" x14ac:dyDescent="0.25">
      <c r="E329" s="58"/>
      <c r="F329" s="57"/>
      <c r="G329" s="57"/>
      <c r="H329" s="57"/>
      <c r="I329" s="212"/>
      <c r="J329" s="57"/>
      <c r="K329" s="57"/>
      <c r="L329" s="57"/>
      <c r="N329" s="57">
        <f t="shared" si="140"/>
        <v>0</v>
      </c>
      <c r="P329" s="57"/>
      <c r="R329" s="105"/>
    </row>
    <row r="330" spans="3:18" s="32" customFormat="1" x14ac:dyDescent="0.25">
      <c r="E330" s="58"/>
      <c r="F330" s="57"/>
      <c r="G330" s="57"/>
      <c r="H330" s="57"/>
      <c r="I330" s="212"/>
      <c r="J330" s="57"/>
      <c r="K330" s="57"/>
      <c r="L330" s="57"/>
      <c r="N330" s="57">
        <f t="shared" si="140"/>
        <v>0</v>
      </c>
      <c r="P330" s="57"/>
      <c r="R330" s="105"/>
    </row>
    <row r="331" spans="3:18" s="32" customFormat="1" x14ac:dyDescent="0.25">
      <c r="C331" s="32" t="s">
        <v>169</v>
      </c>
      <c r="D331" s="32" t="s">
        <v>164</v>
      </c>
      <c r="E331" s="59"/>
      <c r="F331" s="59"/>
      <c r="G331" s="59"/>
      <c r="H331" s="59"/>
      <c r="I331" s="213"/>
      <c r="J331" s="59"/>
      <c r="K331" s="59"/>
      <c r="L331" s="59"/>
      <c r="N331" s="57">
        <f t="shared" si="140"/>
        <v>0</v>
      </c>
      <c r="P331" s="59"/>
      <c r="R331" s="105"/>
    </row>
    <row r="332" spans="3:18" s="32" customFormat="1" x14ac:dyDescent="0.25">
      <c r="D332" s="32" t="s">
        <v>166</v>
      </c>
      <c r="E332" s="59">
        <f t="shared" ref="E332:L334" si="153">E208-E326</f>
        <v>50.899999999999636</v>
      </c>
      <c r="F332" s="59">
        <f t="shared" si="153"/>
        <v>0</v>
      </c>
      <c r="G332" s="59">
        <f t="shared" si="153"/>
        <v>0</v>
      </c>
      <c r="H332" s="59">
        <f t="shared" si="153"/>
        <v>50.9</v>
      </c>
      <c r="I332" s="213">
        <f t="shared" si="153"/>
        <v>0</v>
      </c>
      <c r="J332" s="59">
        <f t="shared" si="153"/>
        <v>0</v>
      </c>
      <c r="K332" s="59">
        <f t="shared" si="153"/>
        <v>0</v>
      </c>
      <c r="L332" s="59">
        <f t="shared" si="153"/>
        <v>0</v>
      </c>
      <c r="N332" s="57">
        <f t="shared" si="140"/>
        <v>0</v>
      </c>
      <c r="P332" s="59">
        <f t="shared" ref="P332:P334" si="154">P208-P326</f>
        <v>0</v>
      </c>
      <c r="R332" s="105"/>
    </row>
    <row r="333" spans="3:18" s="32" customFormat="1" x14ac:dyDescent="0.25">
      <c r="D333" s="32" t="s">
        <v>165</v>
      </c>
      <c r="E333" s="59">
        <f t="shared" si="153"/>
        <v>118.76728999999978</v>
      </c>
      <c r="F333" s="59">
        <f t="shared" si="153"/>
        <v>0</v>
      </c>
      <c r="G333" s="59">
        <f t="shared" si="153"/>
        <v>0</v>
      </c>
      <c r="H333" s="59">
        <f t="shared" si="153"/>
        <v>118.76729</v>
      </c>
      <c r="I333" s="213">
        <f t="shared" si="153"/>
        <v>0</v>
      </c>
      <c r="J333" s="59">
        <f t="shared" si="153"/>
        <v>0</v>
      </c>
      <c r="K333" s="59">
        <f t="shared" si="153"/>
        <v>0</v>
      </c>
      <c r="L333" s="59">
        <f t="shared" si="153"/>
        <v>0</v>
      </c>
      <c r="N333" s="57">
        <f t="shared" si="140"/>
        <v>0</v>
      </c>
      <c r="P333" s="59">
        <f t="shared" si="154"/>
        <v>0</v>
      </c>
      <c r="R333" s="105"/>
    </row>
    <row r="334" spans="3:18" s="32" customFormat="1" x14ac:dyDescent="0.25">
      <c r="D334" s="32" t="s">
        <v>167</v>
      </c>
      <c r="E334" s="59">
        <f t="shared" si="153"/>
        <v>-666.39879000000656</v>
      </c>
      <c r="F334" s="59">
        <f t="shared" si="153"/>
        <v>0</v>
      </c>
      <c r="G334" s="59">
        <f t="shared" si="153"/>
        <v>0</v>
      </c>
      <c r="H334" s="59">
        <f t="shared" si="153"/>
        <v>-666.39879000000656</v>
      </c>
      <c r="I334" s="213">
        <f t="shared" si="153"/>
        <v>0</v>
      </c>
      <c r="J334" s="59">
        <f t="shared" si="153"/>
        <v>0</v>
      </c>
      <c r="K334" s="59">
        <f t="shared" si="153"/>
        <v>0</v>
      </c>
      <c r="L334" s="59">
        <f t="shared" si="153"/>
        <v>0</v>
      </c>
      <c r="N334" s="57">
        <f t="shared" si="140"/>
        <v>0</v>
      </c>
      <c r="P334" s="59">
        <f t="shared" si="154"/>
        <v>0</v>
      </c>
      <c r="R334" s="105"/>
    </row>
    <row r="335" spans="3:18" s="32" customFormat="1" x14ac:dyDescent="0.25">
      <c r="E335" s="60"/>
      <c r="F335" s="60"/>
      <c r="G335" s="60"/>
      <c r="H335" s="60"/>
      <c r="I335" s="214"/>
      <c r="J335" s="60"/>
      <c r="K335" s="60"/>
      <c r="L335" s="60"/>
      <c r="P335" s="60"/>
      <c r="R335" s="105"/>
    </row>
    <row r="336" spans="3:18" s="32" customFormat="1" x14ac:dyDescent="0.25">
      <c r="E336" s="61"/>
      <c r="F336" s="61"/>
      <c r="G336" s="61"/>
      <c r="H336" s="61"/>
      <c r="I336" s="215"/>
      <c r="J336" s="61"/>
      <c r="K336" s="61"/>
      <c r="L336" s="61"/>
      <c r="P336" s="61"/>
      <c r="R336" s="105"/>
    </row>
    <row r="337" spans="1:16" s="32" customFormat="1" x14ac:dyDescent="0.25">
      <c r="A337" s="30"/>
      <c r="B337" s="31"/>
      <c r="E337" s="61"/>
      <c r="F337" s="61"/>
      <c r="G337" s="61"/>
      <c r="H337" s="61"/>
      <c r="I337" s="215"/>
      <c r="J337" s="61"/>
      <c r="K337" s="61"/>
      <c r="L337" s="61"/>
      <c r="P337" s="61"/>
    </row>
    <row r="343" spans="1:16" s="32" customFormat="1" ht="31.5" x14ac:dyDescent="0.25">
      <c r="A343" s="65" t="s">
        <v>75</v>
      </c>
      <c r="B343" s="66" t="s">
        <v>171</v>
      </c>
      <c r="I343" s="112"/>
    </row>
    <row r="344" spans="1:16" s="32" customFormat="1" ht="31.5" x14ac:dyDescent="0.25">
      <c r="A344" s="65" t="s">
        <v>172</v>
      </c>
      <c r="B344" s="72">
        <f>I208</f>
        <v>5082.6000000000004</v>
      </c>
      <c r="I344" s="112"/>
    </row>
    <row r="345" spans="1:16" s="32" customFormat="1" ht="63" x14ac:dyDescent="0.25">
      <c r="A345" s="67" t="s">
        <v>173</v>
      </c>
      <c r="B345" s="72">
        <f t="shared" ref="B345:B346" si="155">I209</f>
        <v>3003.2559999999999</v>
      </c>
      <c r="I345" s="112"/>
    </row>
    <row r="346" spans="1:16" s="32" customFormat="1" ht="78.75" x14ac:dyDescent="0.25">
      <c r="A346" s="67" t="s">
        <v>174</v>
      </c>
      <c r="B346" s="72">
        <f t="shared" si="155"/>
        <v>691617.26302999991</v>
      </c>
      <c r="I346" s="112"/>
    </row>
    <row r="347" spans="1:16" s="32" customFormat="1" ht="15.75" x14ac:dyDescent="0.25">
      <c r="A347" s="67" t="s">
        <v>175</v>
      </c>
      <c r="B347" s="72">
        <f>I213</f>
        <v>250939.85058999999</v>
      </c>
      <c r="I347" s="112"/>
    </row>
    <row r="353" spans="9:18" s="32" customFormat="1" x14ac:dyDescent="0.25">
      <c r="I353" s="112"/>
      <c r="R353" s="105"/>
    </row>
    <row r="354" spans="9:18" s="32" customFormat="1" x14ac:dyDescent="0.25">
      <c r="I354" s="112"/>
      <c r="R354" s="105"/>
    </row>
    <row r="355" spans="9:18" s="32" customFormat="1" x14ac:dyDescent="0.25">
      <c r="I355" s="112"/>
      <c r="R355" s="105"/>
    </row>
    <row r="356" spans="9:18" s="32" customFormat="1" x14ac:dyDescent="0.25">
      <c r="I356" s="112"/>
      <c r="R356" s="105"/>
    </row>
    <row r="357" spans="9:18" s="32" customFormat="1" x14ac:dyDescent="0.25">
      <c r="I357" s="112"/>
      <c r="R357" s="105"/>
    </row>
    <row r="358" spans="9:18" s="32" customFormat="1" x14ac:dyDescent="0.25">
      <c r="I358" s="112"/>
      <c r="R358" s="105"/>
    </row>
    <row r="359" spans="9:18" s="32" customFormat="1" x14ac:dyDescent="0.25">
      <c r="I359" s="112"/>
      <c r="R359" s="105"/>
    </row>
    <row r="360" spans="9:18" s="32" customFormat="1" x14ac:dyDescent="0.25">
      <c r="I360" s="112"/>
      <c r="R360" s="105"/>
    </row>
    <row r="361" spans="9:18" s="32" customFormat="1" x14ac:dyDescent="0.25">
      <c r="I361" s="112"/>
      <c r="R361" s="105"/>
    </row>
    <row r="362" spans="9:18" s="32" customFormat="1" x14ac:dyDescent="0.25">
      <c r="I362" s="112"/>
      <c r="R362" s="105"/>
    </row>
    <row r="363" spans="9:18" s="32" customFormat="1" x14ac:dyDescent="0.25">
      <c r="I363" s="112"/>
      <c r="R363" s="105"/>
    </row>
    <row r="364" spans="9:18" s="32" customFormat="1" x14ac:dyDescent="0.25">
      <c r="I364" s="112"/>
      <c r="R364" s="105"/>
    </row>
    <row r="365" spans="9:18" s="32" customFormat="1" x14ac:dyDescent="0.25">
      <c r="I365" s="112"/>
      <c r="R365" s="105"/>
    </row>
    <row r="366" spans="9:18" s="32" customFormat="1" x14ac:dyDescent="0.25">
      <c r="I366" s="112"/>
      <c r="R366" s="105"/>
    </row>
    <row r="367" spans="9:18" s="32" customFormat="1" x14ac:dyDescent="0.25">
      <c r="I367" s="112"/>
      <c r="R367" s="105"/>
    </row>
    <row r="368" spans="9:18" s="32" customFormat="1" x14ac:dyDescent="0.25">
      <c r="I368" s="112"/>
      <c r="R368" s="105"/>
    </row>
    <row r="369" spans="9:18" s="32" customFormat="1" x14ac:dyDescent="0.25">
      <c r="I369" s="112"/>
      <c r="R369" s="105"/>
    </row>
    <row r="370" spans="9:18" s="32" customFormat="1" x14ac:dyDescent="0.25">
      <c r="I370" s="112"/>
      <c r="R370" s="105"/>
    </row>
    <row r="371" spans="9:18" s="32" customFormat="1" x14ac:dyDescent="0.25">
      <c r="I371" s="112"/>
      <c r="R371" s="105"/>
    </row>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K231"/>
  <sheetViews>
    <sheetView topLeftCell="A170" zoomScale="85" zoomScaleNormal="85" zoomScaleSheetLayoutView="70" workbookViewId="0">
      <selection activeCell="G187" sqref="G187:H187"/>
    </sheetView>
  </sheetViews>
  <sheetFormatPr defaultColWidth="9.140625" defaultRowHeight="15" x14ac:dyDescent="0.25"/>
  <cols>
    <col min="1" max="1" width="11.5703125" style="227" customWidth="1"/>
    <col min="2" max="2" width="33.42578125" style="228" customWidth="1"/>
    <col min="3" max="3" width="28.140625" style="229" customWidth="1"/>
    <col min="4" max="4" width="37" style="229" customWidth="1"/>
    <col min="5" max="5" width="20" style="229" customWidth="1"/>
    <col min="6" max="6" width="21.140625" style="229" customWidth="1"/>
    <col min="7" max="7" width="22.7109375" style="230" customWidth="1"/>
    <col min="8" max="8" width="23.28515625" style="229" customWidth="1"/>
    <col min="9" max="9" width="22.5703125" style="229" customWidth="1"/>
    <col min="10" max="10" width="20.7109375" style="229" customWidth="1"/>
    <col min="11" max="11" width="16.5703125" style="229" bestFit="1" customWidth="1"/>
    <col min="12" max="16384" width="9.140625" style="229"/>
  </cols>
  <sheetData>
    <row r="1" spans="1:10" ht="15.75" x14ac:dyDescent="0.25">
      <c r="J1" s="231" t="s">
        <v>87</v>
      </c>
    </row>
    <row r="2" spans="1:10" x14ac:dyDescent="0.25">
      <c r="A2" s="416" t="s">
        <v>88</v>
      </c>
      <c r="B2" s="416"/>
      <c r="C2" s="416"/>
      <c r="D2" s="416"/>
      <c r="E2" s="416"/>
      <c r="F2" s="416"/>
      <c r="G2" s="416"/>
      <c r="H2" s="416"/>
      <c r="I2" s="416"/>
      <c r="J2" s="416"/>
    </row>
    <row r="3" spans="1:10" ht="15.75" x14ac:dyDescent="0.25">
      <c r="A3" s="232"/>
    </row>
    <row r="4" spans="1:10" x14ac:dyDescent="0.25">
      <c r="A4" s="417" t="s">
        <v>82</v>
      </c>
      <c r="B4" s="418" t="s">
        <v>361</v>
      </c>
      <c r="C4" s="418" t="s">
        <v>362</v>
      </c>
      <c r="D4" s="418" t="s">
        <v>9</v>
      </c>
      <c r="E4" s="418" t="s">
        <v>363</v>
      </c>
      <c r="F4" s="418"/>
      <c r="G4" s="418"/>
      <c r="H4" s="418"/>
      <c r="I4" s="418"/>
      <c r="J4" s="418"/>
    </row>
    <row r="5" spans="1:10" x14ac:dyDescent="0.25">
      <c r="A5" s="417"/>
      <c r="B5" s="418"/>
      <c r="C5" s="418"/>
      <c r="D5" s="418"/>
      <c r="E5" s="418" t="s">
        <v>79</v>
      </c>
      <c r="F5" s="418"/>
      <c r="G5" s="418"/>
      <c r="H5" s="418"/>
      <c r="I5" s="418"/>
      <c r="J5" s="418"/>
    </row>
    <row r="6" spans="1:10" ht="33" customHeight="1" x14ac:dyDescent="0.25">
      <c r="A6" s="417"/>
      <c r="B6" s="418"/>
      <c r="C6" s="418"/>
      <c r="D6" s="418"/>
      <c r="E6" s="279" t="s">
        <v>12</v>
      </c>
      <c r="F6" s="279" t="s">
        <v>118</v>
      </c>
      <c r="G6" s="278" t="s">
        <v>119</v>
      </c>
      <c r="H6" s="279" t="s">
        <v>294</v>
      </c>
      <c r="I6" s="279" t="s">
        <v>295</v>
      </c>
      <c r="J6" s="279" t="s">
        <v>296</v>
      </c>
    </row>
    <row r="7" spans="1:10" s="235" customFormat="1" ht="12" x14ac:dyDescent="0.2">
      <c r="A7" s="233">
        <v>1</v>
      </c>
      <c r="B7" s="233">
        <v>2</v>
      </c>
      <c r="C7" s="233">
        <v>3</v>
      </c>
      <c r="D7" s="233">
        <v>4</v>
      </c>
      <c r="E7" s="233">
        <v>5</v>
      </c>
      <c r="F7" s="233">
        <v>8</v>
      </c>
      <c r="G7" s="234">
        <v>9</v>
      </c>
      <c r="H7" s="233">
        <v>10</v>
      </c>
      <c r="I7" s="233">
        <v>11</v>
      </c>
      <c r="J7" s="233">
        <v>12</v>
      </c>
    </row>
    <row r="8" spans="1:10" x14ac:dyDescent="0.25">
      <c r="A8" s="419" t="s">
        <v>239</v>
      </c>
      <c r="B8" s="419"/>
      <c r="C8" s="419"/>
      <c r="D8" s="419"/>
      <c r="E8" s="419"/>
      <c r="F8" s="419"/>
      <c r="G8" s="419"/>
      <c r="H8" s="419"/>
      <c r="I8" s="419"/>
      <c r="J8" s="419"/>
    </row>
    <row r="9" spans="1:10" x14ac:dyDescent="0.25">
      <c r="A9" s="387" t="s">
        <v>86</v>
      </c>
      <c r="B9" s="388" t="s">
        <v>357</v>
      </c>
      <c r="C9" s="389" t="s">
        <v>128</v>
      </c>
      <c r="D9" s="241" t="s">
        <v>12</v>
      </c>
      <c r="E9" s="236">
        <f>SUM(F9:J9)</f>
        <v>5968.8421099999996</v>
      </c>
      <c r="F9" s="236">
        <f>SUM(F10:F15)</f>
        <v>5968.8421099999996</v>
      </c>
      <c r="G9" s="236">
        <v>0</v>
      </c>
      <c r="H9" s="236">
        <v>0</v>
      </c>
      <c r="I9" s="236">
        <f t="shared" ref="I9:J9" si="0">SUM(I10:I15)</f>
        <v>0</v>
      </c>
      <c r="J9" s="236">
        <f t="shared" si="0"/>
        <v>0</v>
      </c>
    </row>
    <row r="10" spans="1:10" x14ac:dyDescent="0.25">
      <c r="A10" s="387"/>
      <c r="B10" s="388"/>
      <c r="C10" s="389"/>
      <c r="D10" s="277" t="s">
        <v>13</v>
      </c>
      <c r="E10" s="237">
        <f t="shared" ref="E10:E43" si="1">SUM(F10:J10)</f>
        <v>2211.5</v>
      </c>
      <c r="F10" s="237">
        <v>2211.5</v>
      </c>
      <c r="G10" s="237">
        <v>0</v>
      </c>
      <c r="H10" s="237">
        <v>0</v>
      </c>
      <c r="I10" s="237">
        <v>0</v>
      </c>
      <c r="J10" s="237">
        <f>I10*4</f>
        <v>0</v>
      </c>
    </row>
    <row r="11" spans="1:10" x14ac:dyDescent="0.25">
      <c r="A11" s="387"/>
      <c r="B11" s="388"/>
      <c r="C11" s="389"/>
      <c r="D11" s="277" t="s">
        <v>14</v>
      </c>
      <c r="E11" s="237">
        <f t="shared" si="1"/>
        <v>3458.9</v>
      </c>
      <c r="F11" s="237">
        <v>3458.9</v>
      </c>
      <c r="G11" s="237">
        <v>0</v>
      </c>
      <c r="H11" s="237">
        <v>0</v>
      </c>
      <c r="I11" s="237">
        <v>0</v>
      </c>
      <c r="J11" s="237">
        <f t="shared" ref="J11:J22" si="2">I11*4</f>
        <v>0</v>
      </c>
    </row>
    <row r="12" spans="1:10" x14ac:dyDescent="0.25">
      <c r="A12" s="387"/>
      <c r="B12" s="388"/>
      <c r="C12" s="389"/>
      <c r="D12" s="277" t="s">
        <v>15</v>
      </c>
      <c r="E12" s="237">
        <f t="shared" si="1"/>
        <v>298.44210999999996</v>
      </c>
      <c r="F12" s="237">
        <f>298.4421+0.00001</f>
        <v>298.44210999999996</v>
      </c>
      <c r="G12" s="237">
        <v>0</v>
      </c>
      <c r="H12" s="237">
        <v>0</v>
      </c>
      <c r="I12" s="237">
        <v>0</v>
      </c>
      <c r="J12" s="237">
        <f t="shared" si="2"/>
        <v>0</v>
      </c>
    </row>
    <row r="13" spans="1:10" ht="30" x14ac:dyDescent="0.25">
      <c r="A13" s="387"/>
      <c r="B13" s="388"/>
      <c r="C13" s="389"/>
      <c r="D13" s="277" t="s">
        <v>92</v>
      </c>
      <c r="E13" s="237">
        <f t="shared" si="1"/>
        <v>0</v>
      </c>
      <c r="F13" s="237">
        <v>0</v>
      </c>
      <c r="G13" s="237">
        <v>0</v>
      </c>
      <c r="H13" s="237">
        <v>0</v>
      </c>
      <c r="I13" s="237">
        <v>0</v>
      </c>
      <c r="J13" s="237">
        <f t="shared" si="2"/>
        <v>0</v>
      </c>
    </row>
    <row r="14" spans="1:10" x14ac:dyDescent="0.25">
      <c r="A14" s="387"/>
      <c r="B14" s="388"/>
      <c r="C14" s="389"/>
      <c r="D14" s="277" t="s">
        <v>93</v>
      </c>
      <c r="E14" s="237">
        <f t="shared" si="1"/>
        <v>0</v>
      </c>
      <c r="F14" s="237">
        <v>0</v>
      </c>
      <c r="G14" s="237">
        <v>0</v>
      </c>
      <c r="H14" s="237">
        <v>0</v>
      </c>
      <c r="I14" s="237">
        <v>0</v>
      </c>
      <c r="J14" s="237">
        <f t="shared" si="2"/>
        <v>0</v>
      </c>
    </row>
    <row r="15" spans="1:10" x14ac:dyDescent="0.25">
      <c r="A15" s="387"/>
      <c r="B15" s="388"/>
      <c r="C15" s="389"/>
      <c r="D15" s="277" t="s">
        <v>18</v>
      </c>
      <c r="E15" s="237">
        <f t="shared" si="1"/>
        <v>0</v>
      </c>
      <c r="F15" s="237">
        <v>0</v>
      </c>
      <c r="G15" s="237">
        <v>0</v>
      </c>
      <c r="H15" s="237">
        <v>0</v>
      </c>
      <c r="I15" s="237">
        <v>0</v>
      </c>
      <c r="J15" s="237">
        <f t="shared" si="2"/>
        <v>0</v>
      </c>
    </row>
    <row r="16" spans="1:10" s="239" customFormat="1" x14ac:dyDescent="0.25">
      <c r="A16" s="387" t="s">
        <v>133</v>
      </c>
      <c r="B16" s="388" t="s">
        <v>326</v>
      </c>
      <c r="C16" s="413" t="s">
        <v>358</v>
      </c>
      <c r="D16" s="241" t="s">
        <v>12</v>
      </c>
      <c r="E16" s="236">
        <f t="shared" si="1"/>
        <v>824634.82718000002</v>
      </c>
      <c r="F16" s="236">
        <f t="shared" ref="F16" si="3">SUM(F17:F22)</f>
        <v>622580.51577000006</v>
      </c>
      <c r="G16" s="236">
        <f>SUM(G17:G22)</f>
        <v>17256.996040000002</v>
      </c>
      <c r="H16" s="236">
        <f t="shared" ref="H16:J16" si="4">SUM(H17:H22)</f>
        <v>184797.31537</v>
      </c>
      <c r="I16" s="236">
        <f t="shared" si="4"/>
        <v>0</v>
      </c>
      <c r="J16" s="236">
        <f t="shared" si="4"/>
        <v>0</v>
      </c>
    </row>
    <row r="17" spans="1:10" s="240" customFormat="1" x14ac:dyDescent="0.25">
      <c r="A17" s="387"/>
      <c r="B17" s="388"/>
      <c r="C17" s="414"/>
      <c r="D17" s="277" t="s">
        <v>13</v>
      </c>
      <c r="E17" s="237">
        <f t="shared" si="1"/>
        <v>0</v>
      </c>
      <c r="F17" s="237">
        <f>F24+F31</f>
        <v>0</v>
      </c>
      <c r="G17" s="237">
        <f t="shared" ref="G17:I17" si="5">G24+G31</f>
        <v>0</v>
      </c>
      <c r="H17" s="237">
        <f t="shared" si="5"/>
        <v>0</v>
      </c>
      <c r="I17" s="237">
        <f t="shared" si="5"/>
        <v>0</v>
      </c>
      <c r="J17" s="237">
        <f t="shared" si="2"/>
        <v>0</v>
      </c>
    </row>
    <row r="18" spans="1:10" s="240" customFormat="1" x14ac:dyDescent="0.25">
      <c r="A18" s="387"/>
      <c r="B18" s="388"/>
      <c r="C18" s="414"/>
      <c r="D18" s="277" t="s">
        <v>14</v>
      </c>
      <c r="E18" s="237">
        <f t="shared" si="1"/>
        <v>0</v>
      </c>
      <c r="F18" s="237">
        <f t="shared" ref="F18:I22" si="6">F25+F32</f>
        <v>0</v>
      </c>
      <c r="G18" s="237">
        <f t="shared" si="6"/>
        <v>0</v>
      </c>
      <c r="H18" s="237">
        <f t="shared" si="6"/>
        <v>0</v>
      </c>
      <c r="I18" s="237">
        <f t="shared" si="6"/>
        <v>0</v>
      </c>
      <c r="J18" s="237">
        <f t="shared" si="2"/>
        <v>0</v>
      </c>
    </row>
    <row r="19" spans="1:10" s="240" customFormat="1" ht="23.25" customHeight="1" x14ac:dyDescent="0.25">
      <c r="A19" s="387"/>
      <c r="B19" s="388"/>
      <c r="C19" s="414"/>
      <c r="D19" s="277" t="s">
        <v>15</v>
      </c>
      <c r="E19" s="237">
        <f t="shared" si="1"/>
        <v>159.86000000000058</v>
      </c>
      <c r="F19" s="237">
        <f t="shared" si="6"/>
        <v>159.86000000000058</v>
      </c>
      <c r="G19" s="237">
        <f t="shared" si="6"/>
        <v>0</v>
      </c>
      <c r="H19" s="237">
        <f t="shared" si="6"/>
        <v>0</v>
      </c>
      <c r="I19" s="237">
        <f t="shared" si="6"/>
        <v>0</v>
      </c>
      <c r="J19" s="237">
        <f t="shared" si="2"/>
        <v>0</v>
      </c>
    </row>
    <row r="20" spans="1:10" s="240" customFormat="1" ht="30" x14ac:dyDescent="0.25">
      <c r="A20" s="387"/>
      <c r="B20" s="388"/>
      <c r="C20" s="414"/>
      <c r="D20" s="277" t="s">
        <v>94</v>
      </c>
      <c r="E20" s="237">
        <f t="shared" si="1"/>
        <v>0</v>
      </c>
      <c r="F20" s="237">
        <f t="shared" si="6"/>
        <v>0</v>
      </c>
      <c r="G20" s="237">
        <f t="shared" si="6"/>
        <v>0</v>
      </c>
      <c r="H20" s="237">
        <f t="shared" si="6"/>
        <v>0</v>
      </c>
      <c r="I20" s="237">
        <f t="shared" si="6"/>
        <v>0</v>
      </c>
      <c r="J20" s="237">
        <f t="shared" si="2"/>
        <v>0</v>
      </c>
    </row>
    <row r="21" spans="1:10" s="240" customFormat="1" x14ac:dyDescent="0.25">
      <c r="A21" s="387"/>
      <c r="B21" s="388"/>
      <c r="C21" s="414"/>
      <c r="D21" s="277" t="s">
        <v>93</v>
      </c>
      <c r="E21" s="237">
        <f t="shared" si="1"/>
        <v>0</v>
      </c>
      <c r="F21" s="237">
        <f t="shared" si="6"/>
        <v>0</v>
      </c>
      <c r="G21" s="237">
        <f t="shared" si="6"/>
        <v>0</v>
      </c>
      <c r="H21" s="237">
        <f t="shared" si="6"/>
        <v>0</v>
      </c>
      <c r="I21" s="237">
        <f t="shared" si="6"/>
        <v>0</v>
      </c>
      <c r="J21" s="237">
        <f t="shared" si="2"/>
        <v>0</v>
      </c>
    </row>
    <row r="22" spans="1:10" s="240" customFormat="1" ht="21" customHeight="1" x14ac:dyDescent="0.25">
      <c r="A22" s="387"/>
      <c r="B22" s="388"/>
      <c r="C22" s="415"/>
      <c r="D22" s="277" t="s">
        <v>18</v>
      </c>
      <c r="E22" s="237">
        <f t="shared" si="1"/>
        <v>824474.96718000004</v>
      </c>
      <c r="F22" s="237">
        <f t="shared" si="6"/>
        <v>622420.65577000007</v>
      </c>
      <c r="G22" s="237">
        <f t="shared" si="6"/>
        <v>17256.996040000002</v>
      </c>
      <c r="H22" s="237">
        <f t="shared" si="6"/>
        <v>184797.31537</v>
      </c>
      <c r="I22" s="237">
        <f t="shared" si="6"/>
        <v>0</v>
      </c>
      <c r="J22" s="237">
        <f t="shared" si="2"/>
        <v>0</v>
      </c>
    </row>
    <row r="23" spans="1:10" s="239" customFormat="1" x14ac:dyDescent="0.25">
      <c r="A23" s="387"/>
      <c r="B23" s="388"/>
      <c r="C23" s="390" t="s">
        <v>8</v>
      </c>
      <c r="D23" s="241" t="s">
        <v>12</v>
      </c>
      <c r="E23" s="236">
        <f t="shared" si="1"/>
        <v>4023.6160000000004</v>
      </c>
      <c r="F23" s="236">
        <f t="shared" ref="F23:J23" si="7">SUM(F24:F29)</f>
        <v>4023.6160000000004</v>
      </c>
      <c r="G23" s="236">
        <f t="shared" si="7"/>
        <v>0</v>
      </c>
      <c r="H23" s="236">
        <f t="shared" si="7"/>
        <v>0</v>
      </c>
      <c r="I23" s="236">
        <f t="shared" si="7"/>
        <v>0</v>
      </c>
      <c r="J23" s="236">
        <f t="shared" si="7"/>
        <v>0</v>
      </c>
    </row>
    <row r="24" spans="1:10" s="240" customFormat="1" x14ac:dyDescent="0.25">
      <c r="A24" s="387"/>
      <c r="B24" s="388"/>
      <c r="C24" s="390"/>
      <c r="D24" s="277" t="s">
        <v>13</v>
      </c>
      <c r="E24" s="237">
        <f t="shared" si="1"/>
        <v>0</v>
      </c>
      <c r="F24" s="237">
        <v>0</v>
      </c>
      <c r="G24" s="237">
        <v>0</v>
      </c>
      <c r="H24" s="237">
        <v>0</v>
      </c>
      <c r="I24" s="237">
        <v>0</v>
      </c>
      <c r="J24" s="237">
        <f>I24*4</f>
        <v>0</v>
      </c>
    </row>
    <row r="25" spans="1:10" s="240" customFormat="1" x14ac:dyDescent="0.25">
      <c r="A25" s="387"/>
      <c r="B25" s="388"/>
      <c r="C25" s="390"/>
      <c r="D25" s="277" t="s">
        <v>14</v>
      </c>
      <c r="E25" s="237">
        <f t="shared" si="1"/>
        <v>0</v>
      </c>
      <c r="F25" s="237">
        <v>0</v>
      </c>
      <c r="G25" s="237">
        <v>0</v>
      </c>
      <c r="H25" s="237">
        <v>0</v>
      </c>
      <c r="I25" s="237">
        <v>0</v>
      </c>
      <c r="J25" s="237">
        <f t="shared" ref="J25:J29" si="8">I25*4</f>
        <v>0</v>
      </c>
    </row>
    <row r="26" spans="1:10" s="240" customFormat="1" x14ac:dyDescent="0.25">
      <c r="A26" s="387"/>
      <c r="B26" s="388"/>
      <c r="C26" s="390"/>
      <c r="D26" s="277" t="s">
        <v>15</v>
      </c>
      <c r="E26" s="237">
        <f t="shared" si="1"/>
        <v>159.86000000000058</v>
      </c>
      <c r="F26" s="237">
        <f>5239.818-5079.958</f>
        <v>159.86000000000058</v>
      </c>
      <c r="G26" s="237">
        <f>200-200</f>
        <v>0</v>
      </c>
      <c r="H26" s="237">
        <f>200-200</f>
        <v>0</v>
      </c>
      <c r="I26" s="237">
        <v>0</v>
      </c>
      <c r="J26" s="237">
        <f t="shared" si="8"/>
        <v>0</v>
      </c>
    </row>
    <row r="27" spans="1:10" s="240" customFormat="1" ht="30" x14ac:dyDescent="0.25">
      <c r="A27" s="387"/>
      <c r="B27" s="388"/>
      <c r="C27" s="390"/>
      <c r="D27" s="277" t="s">
        <v>94</v>
      </c>
      <c r="E27" s="237">
        <f t="shared" si="1"/>
        <v>0</v>
      </c>
      <c r="F27" s="237">
        <v>0</v>
      </c>
      <c r="G27" s="237">
        <v>0</v>
      </c>
      <c r="H27" s="237">
        <v>0</v>
      </c>
      <c r="I27" s="237">
        <v>0</v>
      </c>
      <c r="J27" s="237">
        <f t="shared" si="8"/>
        <v>0</v>
      </c>
    </row>
    <row r="28" spans="1:10" s="240" customFormat="1" x14ac:dyDescent="0.25">
      <c r="A28" s="387"/>
      <c r="B28" s="388"/>
      <c r="C28" s="390"/>
      <c r="D28" s="277" t="s">
        <v>93</v>
      </c>
      <c r="E28" s="237">
        <f t="shared" si="1"/>
        <v>0</v>
      </c>
      <c r="F28" s="237">
        <v>0</v>
      </c>
      <c r="G28" s="237">
        <v>0</v>
      </c>
      <c r="H28" s="237">
        <v>0</v>
      </c>
      <c r="I28" s="237">
        <v>0</v>
      </c>
      <c r="J28" s="237">
        <f t="shared" si="8"/>
        <v>0</v>
      </c>
    </row>
    <row r="29" spans="1:10" s="240" customFormat="1" x14ac:dyDescent="0.25">
      <c r="A29" s="387"/>
      <c r="B29" s="388"/>
      <c r="C29" s="390"/>
      <c r="D29" s="277" t="s">
        <v>18</v>
      </c>
      <c r="E29" s="237">
        <f t="shared" si="1"/>
        <v>3863.7559999999999</v>
      </c>
      <c r="F29" s="282">
        <f>2754.276+1109.48</f>
        <v>3863.7559999999999</v>
      </c>
      <c r="G29" s="281">
        <v>0</v>
      </c>
      <c r="H29" s="237">
        <v>0</v>
      </c>
      <c r="I29" s="237">
        <v>0</v>
      </c>
      <c r="J29" s="237">
        <f t="shared" si="8"/>
        <v>0</v>
      </c>
    </row>
    <row r="30" spans="1:10" s="239" customFormat="1" x14ac:dyDescent="0.25">
      <c r="A30" s="387"/>
      <c r="B30" s="388"/>
      <c r="C30" s="390" t="s">
        <v>329</v>
      </c>
      <c r="D30" s="241" t="s">
        <v>12</v>
      </c>
      <c r="E30" s="236">
        <f t="shared" si="1"/>
        <v>820611.21117999998</v>
      </c>
      <c r="F30" s="236">
        <f t="shared" ref="F30:J30" si="9">SUM(F31:F36)</f>
        <v>618556.89977000002</v>
      </c>
      <c r="G30" s="236">
        <f t="shared" si="9"/>
        <v>17256.996040000002</v>
      </c>
      <c r="H30" s="236">
        <f t="shared" si="9"/>
        <v>184797.31537</v>
      </c>
      <c r="I30" s="236">
        <f t="shared" si="9"/>
        <v>0</v>
      </c>
      <c r="J30" s="236">
        <f t="shared" si="9"/>
        <v>0</v>
      </c>
    </row>
    <row r="31" spans="1:10" s="240" customFormat="1" x14ac:dyDescent="0.25">
      <c r="A31" s="387"/>
      <c r="B31" s="388"/>
      <c r="C31" s="390"/>
      <c r="D31" s="277" t="s">
        <v>13</v>
      </c>
      <c r="E31" s="237">
        <f t="shared" si="1"/>
        <v>0</v>
      </c>
      <c r="F31" s="237">
        <v>0</v>
      </c>
      <c r="G31" s="237">
        <v>0</v>
      </c>
      <c r="H31" s="237">
        <v>0</v>
      </c>
      <c r="I31" s="237">
        <v>0</v>
      </c>
      <c r="J31" s="237">
        <f>I31*4</f>
        <v>0</v>
      </c>
    </row>
    <row r="32" spans="1:10" s="240" customFormat="1" x14ac:dyDescent="0.25">
      <c r="A32" s="387"/>
      <c r="B32" s="388"/>
      <c r="C32" s="390"/>
      <c r="D32" s="277" t="s">
        <v>14</v>
      </c>
      <c r="E32" s="237">
        <f t="shared" si="1"/>
        <v>0</v>
      </c>
      <c r="F32" s="236">
        <v>0</v>
      </c>
      <c r="G32" s="236">
        <v>0</v>
      </c>
      <c r="H32" s="236">
        <v>0</v>
      </c>
      <c r="I32" s="236">
        <v>0</v>
      </c>
      <c r="J32" s="237">
        <f t="shared" ref="J32:J36" si="10">I32*4</f>
        <v>0</v>
      </c>
    </row>
    <row r="33" spans="1:10" s="240" customFormat="1" x14ac:dyDescent="0.25">
      <c r="A33" s="387"/>
      <c r="B33" s="388"/>
      <c r="C33" s="390"/>
      <c r="D33" s="277" t="s">
        <v>145</v>
      </c>
      <c r="E33" s="237">
        <f t="shared" si="1"/>
        <v>0</v>
      </c>
      <c r="F33" s="236">
        <v>0</v>
      </c>
      <c r="G33" s="237">
        <v>0</v>
      </c>
      <c r="H33" s="236">
        <v>0</v>
      </c>
      <c r="I33" s="236">
        <v>0</v>
      </c>
      <c r="J33" s="237">
        <f t="shared" si="10"/>
        <v>0</v>
      </c>
    </row>
    <row r="34" spans="1:10" s="240" customFormat="1" ht="30" x14ac:dyDescent="0.25">
      <c r="A34" s="387"/>
      <c r="B34" s="388"/>
      <c r="C34" s="390"/>
      <c r="D34" s="277" t="s">
        <v>94</v>
      </c>
      <c r="E34" s="237">
        <f t="shared" si="1"/>
        <v>0</v>
      </c>
      <c r="F34" s="236">
        <v>0</v>
      </c>
      <c r="G34" s="236">
        <v>0</v>
      </c>
      <c r="H34" s="236">
        <v>0</v>
      </c>
      <c r="I34" s="236">
        <v>0</v>
      </c>
      <c r="J34" s="237">
        <f t="shared" si="10"/>
        <v>0</v>
      </c>
    </row>
    <row r="35" spans="1:10" s="240" customFormat="1" x14ac:dyDescent="0.25">
      <c r="A35" s="387"/>
      <c r="B35" s="388"/>
      <c r="C35" s="390"/>
      <c r="D35" s="277" t="s">
        <v>93</v>
      </c>
      <c r="E35" s="237">
        <f t="shared" si="1"/>
        <v>0</v>
      </c>
      <c r="F35" s="236">
        <v>0</v>
      </c>
      <c r="G35" s="236">
        <v>0</v>
      </c>
      <c r="H35" s="236">
        <v>0</v>
      </c>
      <c r="I35" s="236">
        <v>0</v>
      </c>
      <c r="J35" s="237">
        <f t="shared" si="10"/>
        <v>0</v>
      </c>
    </row>
    <row r="36" spans="1:10" s="240" customFormat="1" ht="36.75" customHeight="1" x14ac:dyDescent="0.25">
      <c r="A36" s="387"/>
      <c r="B36" s="388"/>
      <c r="C36" s="390"/>
      <c r="D36" s="277" t="s">
        <v>18</v>
      </c>
      <c r="E36" s="237">
        <f t="shared" si="1"/>
        <v>820611.21117999998</v>
      </c>
      <c r="F36" s="237">
        <v>618556.89977000002</v>
      </c>
      <c r="G36" s="283">
        <v>17256.996040000002</v>
      </c>
      <c r="H36" s="284">
        <v>184797.31537</v>
      </c>
      <c r="I36" s="237">
        <v>0</v>
      </c>
      <c r="J36" s="237">
        <f t="shared" si="10"/>
        <v>0</v>
      </c>
    </row>
    <row r="37" spans="1:10" s="238" customFormat="1" x14ac:dyDescent="0.25">
      <c r="A37" s="391" t="s">
        <v>95</v>
      </c>
      <c r="B37" s="391"/>
      <c r="C37" s="391"/>
      <c r="D37" s="241" t="s">
        <v>12</v>
      </c>
      <c r="E37" s="236">
        <f>SUM(F37:J37)</f>
        <v>830603.66928999999</v>
      </c>
      <c r="F37" s="236">
        <f>SUM(F38:F43)</f>
        <v>628549.35788000003</v>
      </c>
      <c r="G37" s="236">
        <f>SUM(G38:G43)</f>
        <v>17256.996040000002</v>
      </c>
      <c r="H37" s="236">
        <f t="shared" ref="H37:J37" si="11">SUM(H38:H43)</f>
        <v>184797.31537</v>
      </c>
      <c r="I37" s="236">
        <f t="shared" si="11"/>
        <v>0</v>
      </c>
      <c r="J37" s="236">
        <f t="shared" si="11"/>
        <v>0</v>
      </c>
    </row>
    <row r="38" spans="1:10" s="238" customFormat="1" x14ac:dyDescent="0.25">
      <c r="A38" s="391"/>
      <c r="B38" s="391"/>
      <c r="C38" s="391"/>
      <c r="D38" s="277" t="s">
        <v>13</v>
      </c>
      <c r="E38" s="237">
        <f t="shared" si="1"/>
        <v>2211.5</v>
      </c>
      <c r="F38" s="237">
        <f>SUM(F10,F17)</f>
        <v>2211.5</v>
      </c>
      <c r="G38" s="237">
        <f t="shared" ref="G38:I38" si="12">SUM(G10,G17)</f>
        <v>0</v>
      </c>
      <c r="H38" s="237">
        <f t="shared" si="12"/>
        <v>0</v>
      </c>
      <c r="I38" s="237">
        <f t="shared" si="12"/>
        <v>0</v>
      </c>
      <c r="J38" s="237">
        <f>SUM(J10,J17)</f>
        <v>0</v>
      </c>
    </row>
    <row r="39" spans="1:10" s="238" customFormat="1" x14ac:dyDescent="0.25">
      <c r="A39" s="391"/>
      <c r="B39" s="391"/>
      <c r="C39" s="391"/>
      <c r="D39" s="277" t="s">
        <v>14</v>
      </c>
      <c r="E39" s="237">
        <f t="shared" si="1"/>
        <v>3458.9</v>
      </c>
      <c r="F39" s="237">
        <f t="shared" ref="F39:J43" si="13">SUM(F11,F18)</f>
        <v>3458.9</v>
      </c>
      <c r="G39" s="237">
        <f t="shared" si="13"/>
        <v>0</v>
      </c>
      <c r="H39" s="237">
        <f t="shared" si="13"/>
        <v>0</v>
      </c>
      <c r="I39" s="237">
        <f t="shared" si="13"/>
        <v>0</v>
      </c>
      <c r="J39" s="237">
        <f t="shared" si="13"/>
        <v>0</v>
      </c>
    </row>
    <row r="40" spans="1:10" s="238" customFormat="1" x14ac:dyDescent="0.25">
      <c r="A40" s="391"/>
      <c r="B40" s="391"/>
      <c r="C40" s="391"/>
      <c r="D40" s="277" t="s">
        <v>15</v>
      </c>
      <c r="E40" s="237">
        <f t="shared" si="1"/>
        <v>458.30211000000054</v>
      </c>
      <c r="F40" s="237">
        <f t="shared" si="13"/>
        <v>458.30211000000054</v>
      </c>
      <c r="G40" s="237">
        <f t="shared" si="13"/>
        <v>0</v>
      </c>
      <c r="H40" s="237">
        <f t="shared" si="13"/>
        <v>0</v>
      </c>
      <c r="I40" s="237">
        <f t="shared" si="13"/>
        <v>0</v>
      </c>
      <c r="J40" s="237">
        <f t="shared" si="13"/>
        <v>0</v>
      </c>
    </row>
    <row r="41" spans="1:10" s="238" customFormat="1" ht="30" x14ac:dyDescent="0.25">
      <c r="A41" s="391"/>
      <c r="B41" s="391"/>
      <c r="C41" s="391"/>
      <c r="D41" s="277" t="s">
        <v>94</v>
      </c>
      <c r="E41" s="237">
        <f t="shared" si="1"/>
        <v>0</v>
      </c>
      <c r="F41" s="237">
        <f t="shared" si="13"/>
        <v>0</v>
      </c>
      <c r="G41" s="237">
        <f t="shared" si="13"/>
        <v>0</v>
      </c>
      <c r="H41" s="237">
        <f t="shared" si="13"/>
        <v>0</v>
      </c>
      <c r="I41" s="237">
        <f t="shared" si="13"/>
        <v>0</v>
      </c>
      <c r="J41" s="237">
        <f t="shared" si="13"/>
        <v>0</v>
      </c>
    </row>
    <row r="42" spans="1:10" s="238" customFormat="1" x14ac:dyDescent="0.25">
      <c r="A42" s="391"/>
      <c r="B42" s="391"/>
      <c r="C42" s="391"/>
      <c r="D42" s="277" t="s">
        <v>93</v>
      </c>
      <c r="E42" s="237">
        <f t="shared" si="1"/>
        <v>0</v>
      </c>
      <c r="F42" s="237">
        <f t="shared" si="13"/>
        <v>0</v>
      </c>
      <c r="G42" s="237">
        <f t="shared" si="13"/>
        <v>0</v>
      </c>
      <c r="H42" s="237">
        <f t="shared" si="13"/>
        <v>0</v>
      </c>
      <c r="I42" s="237">
        <f t="shared" si="13"/>
        <v>0</v>
      </c>
      <c r="J42" s="237">
        <f t="shared" si="13"/>
        <v>0</v>
      </c>
    </row>
    <row r="43" spans="1:10" s="238" customFormat="1" x14ac:dyDescent="0.25">
      <c r="A43" s="391"/>
      <c r="B43" s="391"/>
      <c r="C43" s="391"/>
      <c r="D43" s="277" t="s">
        <v>18</v>
      </c>
      <c r="E43" s="237">
        <f t="shared" si="1"/>
        <v>824474.96718000004</v>
      </c>
      <c r="F43" s="237">
        <f t="shared" si="13"/>
        <v>622420.65577000007</v>
      </c>
      <c r="G43" s="237">
        <f t="shared" si="13"/>
        <v>17256.996040000002</v>
      </c>
      <c r="H43" s="237">
        <f t="shared" si="13"/>
        <v>184797.31537</v>
      </c>
      <c r="I43" s="237">
        <f t="shared" si="13"/>
        <v>0</v>
      </c>
      <c r="J43" s="237">
        <f t="shared" si="13"/>
        <v>0</v>
      </c>
    </row>
    <row r="44" spans="1:10" s="239" customFormat="1" ht="15.75" customHeight="1" x14ac:dyDescent="0.25">
      <c r="A44" s="386" t="s">
        <v>359</v>
      </c>
      <c r="B44" s="386"/>
      <c r="C44" s="386"/>
      <c r="D44" s="386"/>
      <c r="E44" s="386"/>
      <c r="F44" s="386"/>
      <c r="G44" s="386"/>
      <c r="H44" s="386"/>
      <c r="I44" s="386"/>
      <c r="J44" s="386"/>
    </row>
    <row r="45" spans="1:10" s="240" customFormat="1" x14ac:dyDescent="0.25">
      <c r="A45" s="387" t="s">
        <v>121</v>
      </c>
      <c r="B45" s="388" t="s">
        <v>380</v>
      </c>
      <c r="C45" s="390" t="s">
        <v>8</v>
      </c>
      <c r="D45" s="241" t="s">
        <v>12</v>
      </c>
      <c r="E45" s="236">
        <f t="shared" ref="E45:E86" si="14">SUM(F45:J45)</f>
        <v>0</v>
      </c>
      <c r="F45" s="236">
        <f>SUM(F46:F51)</f>
        <v>0</v>
      </c>
      <c r="G45" s="236">
        <f>SUM(G46:G51)</f>
        <v>0</v>
      </c>
      <c r="H45" s="236">
        <f>SUM(H46:H51)</f>
        <v>0</v>
      </c>
      <c r="I45" s="236">
        <f>SUM(I46:I51)</f>
        <v>0</v>
      </c>
      <c r="J45" s="236">
        <f>SUM(J46:J51)</f>
        <v>0</v>
      </c>
    </row>
    <row r="46" spans="1:10" s="240" customFormat="1" x14ac:dyDescent="0.25">
      <c r="A46" s="387"/>
      <c r="B46" s="388"/>
      <c r="C46" s="390"/>
      <c r="D46" s="277" t="s">
        <v>13</v>
      </c>
      <c r="E46" s="236">
        <f t="shared" si="14"/>
        <v>0</v>
      </c>
      <c r="F46" s="237">
        <v>0</v>
      </c>
      <c r="G46" s="237">
        <v>0</v>
      </c>
      <c r="H46" s="237">
        <v>0</v>
      </c>
      <c r="I46" s="237">
        <v>0</v>
      </c>
      <c r="J46" s="237">
        <v>0</v>
      </c>
    </row>
    <row r="47" spans="1:10" s="240" customFormat="1" x14ac:dyDescent="0.25">
      <c r="A47" s="387"/>
      <c r="B47" s="388"/>
      <c r="C47" s="390"/>
      <c r="D47" s="277" t="s">
        <v>14</v>
      </c>
      <c r="E47" s="236">
        <f t="shared" si="14"/>
        <v>0</v>
      </c>
      <c r="F47" s="237">
        <v>0</v>
      </c>
      <c r="G47" s="237">
        <v>0</v>
      </c>
      <c r="H47" s="237">
        <v>0</v>
      </c>
      <c r="I47" s="237">
        <v>0</v>
      </c>
      <c r="J47" s="237">
        <v>0</v>
      </c>
    </row>
    <row r="48" spans="1:10" s="240" customFormat="1" x14ac:dyDescent="0.25">
      <c r="A48" s="387"/>
      <c r="B48" s="388"/>
      <c r="C48" s="390"/>
      <c r="D48" s="277" t="s">
        <v>15</v>
      </c>
      <c r="E48" s="236">
        <f t="shared" si="14"/>
        <v>0</v>
      </c>
      <c r="F48" s="237">
        <v>0</v>
      </c>
      <c r="G48" s="237">
        <v>0</v>
      </c>
      <c r="H48" s="237">
        <v>0</v>
      </c>
      <c r="I48" s="237">
        <v>0</v>
      </c>
      <c r="J48" s="237">
        <v>0</v>
      </c>
    </row>
    <row r="49" spans="1:10" s="240" customFormat="1" ht="30" x14ac:dyDescent="0.25">
      <c r="A49" s="387"/>
      <c r="B49" s="388"/>
      <c r="C49" s="390"/>
      <c r="D49" s="277" t="s">
        <v>92</v>
      </c>
      <c r="E49" s="236">
        <f t="shared" si="14"/>
        <v>0</v>
      </c>
      <c r="F49" s="237">
        <v>0</v>
      </c>
      <c r="G49" s="237">
        <v>0</v>
      </c>
      <c r="H49" s="237">
        <v>0</v>
      </c>
      <c r="I49" s="237">
        <v>0</v>
      </c>
      <c r="J49" s="237">
        <v>0</v>
      </c>
    </row>
    <row r="50" spans="1:10" s="240" customFormat="1" x14ac:dyDescent="0.25">
      <c r="A50" s="387"/>
      <c r="B50" s="388"/>
      <c r="C50" s="390"/>
      <c r="D50" s="277" t="s">
        <v>93</v>
      </c>
      <c r="E50" s="236">
        <f t="shared" si="14"/>
        <v>0</v>
      </c>
      <c r="F50" s="237">
        <v>0</v>
      </c>
      <c r="G50" s="237">
        <v>0</v>
      </c>
      <c r="H50" s="237">
        <v>0</v>
      </c>
      <c r="I50" s="237">
        <v>0</v>
      </c>
      <c r="J50" s="237">
        <v>0</v>
      </c>
    </row>
    <row r="51" spans="1:10" s="240" customFormat="1" x14ac:dyDescent="0.25">
      <c r="A51" s="387"/>
      <c r="B51" s="388"/>
      <c r="C51" s="390"/>
      <c r="D51" s="277" t="s">
        <v>18</v>
      </c>
      <c r="E51" s="236">
        <f t="shared" si="14"/>
        <v>0</v>
      </c>
      <c r="F51" s="237">
        <v>0</v>
      </c>
      <c r="G51" s="237">
        <v>0</v>
      </c>
      <c r="H51" s="237">
        <v>0</v>
      </c>
      <c r="I51" s="237">
        <v>0</v>
      </c>
      <c r="J51" s="237">
        <v>0</v>
      </c>
    </row>
    <row r="52" spans="1:10" s="240" customFormat="1" x14ac:dyDescent="0.25">
      <c r="A52" s="387" t="s">
        <v>122</v>
      </c>
      <c r="B52" s="388" t="s">
        <v>379</v>
      </c>
      <c r="C52" s="389" t="s">
        <v>128</v>
      </c>
      <c r="D52" s="241" t="s">
        <v>12</v>
      </c>
      <c r="E52" s="236">
        <f t="shared" ref="E52:E58" si="15">SUM(F52:J52)</f>
        <v>210</v>
      </c>
      <c r="F52" s="236">
        <f>SUM(F53:F58)</f>
        <v>70</v>
      </c>
      <c r="G52" s="236">
        <f>SUM(G53:G58)</f>
        <v>70</v>
      </c>
      <c r="H52" s="236">
        <f>SUM(H53:H58)</f>
        <v>70</v>
      </c>
      <c r="I52" s="236">
        <f>SUM(I53:I58)</f>
        <v>0</v>
      </c>
      <c r="J52" s="236">
        <f>SUM(J53:J58)</f>
        <v>0</v>
      </c>
    </row>
    <row r="53" spans="1:10" s="240" customFormat="1" x14ac:dyDescent="0.25">
      <c r="A53" s="387"/>
      <c r="B53" s="388"/>
      <c r="C53" s="389"/>
      <c r="D53" s="277" t="s">
        <v>13</v>
      </c>
      <c r="E53" s="236">
        <f t="shared" si="15"/>
        <v>0</v>
      </c>
      <c r="F53" s="237">
        <v>0</v>
      </c>
      <c r="G53" s="237">
        <v>0</v>
      </c>
      <c r="H53" s="237">
        <v>0</v>
      </c>
      <c r="I53" s="237">
        <v>0</v>
      </c>
      <c r="J53" s="237">
        <v>0</v>
      </c>
    </row>
    <row r="54" spans="1:10" s="240" customFormat="1" x14ac:dyDescent="0.25">
      <c r="A54" s="387"/>
      <c r="B54" s="388"/>
      <c r="C54" s="389"/>
      <c r="D54" s="277" t="s">
        <v>14</v>
      </c>
      <c r="E54" s="236">
        <f t="shared" si="15"/>
        <v>0</v>
      </c>
      <c r="F54" s="237">
        <v>0</v>
      </c>
      <c r="G54" s="237">
        <v>0</v>
      </c>
      <c r="H54" s="237">
        <v>0</v>
      </c>
      <c r="I54" s="237">
        <v>0</v>
      </c>
      <c r="J54" s="237">
        <v>0</v>
      </c>
    </row>
    <row r="55" spans="1:10" s="240" customFormat="1" x14ac:dyDescent="0.25">
      <c r="A55" s="387"/>
      <c r="B55" s="388"/>
      <c r="C55" s="389"/>
      <c r="D55" s="277" t="s">
        <v>15</v>
      </c>
      <c r="E55" s="236">
        <f t="shared" si="15"/>
        <v>210</v>
      </c>
      <c r="F55" s="237">
        <v>70</v>
      </c>
      <c r="G55" s="237">
        <v>70</v>
      </c>
      <c r="H55" s="237">
        <v>70</v>
      </c>
      <c r="I55" s="237">
        <v>0</v>
      </c>
      <c r="J55" s="237">
        <f>I55*4</f>
        <v>0</v>
      </c>
    </row>
    <row r="56" spans="1:10" s="240" customFormat="1" ht="30" x14ac:dyDescent="0.25">
      <c r="A56" s="387"/>
      <c r="B56" s="388"/>
      <c r="C56" s="389"/>
      <c r="D56" s="277" t="s">
        <v>94</v>
      </c>
      <c r="E56" s="236">
        <f t="shared" si="15"/>
        <v>0</v>
      </c>
      <c r="F56" s="237">
        <v>0</v>
      </c>
      <c r="G56" s="237">
        <v>0</v>
      </c>
      <c r="H56" s="237">
        <v>0</v>
      </c>
      <c r="I56" s="237">
        <v>0</v>
      </c>
      <c r="J56" s="237">
        <v>0</v>
      </c>
    </row>
    <row r="57" spans="1:10" s="240" customFormat="1" ht="24.75" customHeight="1" x14ac:dyDescent="0.25">
      <c r="A57" s="387"/>
      <c r="B57" s="388"/>
      <c r="C57" s="389"/>
      <c r="D57" s="277" t="s">
        <v>93</v>
      </c>
      <c r="E57" s="236">
        <f t="shared" si="15"/>
        <v>0</v>
      </c>
      <c r="F57" s="237">
        <v>0</v>
      </c>
      <c r="G57" s="237">
        <v>0</v>
      </c>
      <c r="H57" s="237">
        <v>0</v>
      </c>
      <c r="I57" s="237">
        <v>0</v>
      </c>
      <c r="J57" s="237">
        <v>0</v>
      </c>
    </row>
    <row r="58" spans="1:10" s="240" customFormat="1" ht="41.25" customHeight="1" x14ac:dyDescent="0.25">
      <c r="A58" s="387"/>
      <c r="B58" s="388"/>
      <c r="C58" s="389"/>
      <c r="D58" s="277" t="s">
        <v>18</v>
      </c>
      <c r="E58" s="236">
        <f t="shared" si="15"/>
        <v>0</v>
      </c>
      <c r="F58" s="237">
        <v>0</v>
      </c>
      <c r="G58" s="237">
        <v>0</v>
      </c>
      <c r="H58" s="237">
        <v>0</v>
      </c>
      <c r="I58" s="237">
        <v>0</v>
      </c>
      <c r="J58" s="237">
        <v>0</v>
      </c>
    </row>
    <row r="59" spans="1:10" s="240" customFormat="1" ht="24" customHeight="1" x14ac:dyDescent="0.25">
      <c r="A59" s="399" t="s">
        <v>124</v>
      </c>
      <c r="B59" s="401" t="s">
        <v>378</v>
      </c>
      <c r="C59" s="390" t="s">
        <v>8</v>
      </c>
      <c r="D59" s="241" t="s">
        <v>12</v>
      </c>
      <c r="E59" s="236">
        <f t="shared" si="14"/>
        <v>566594.72129999986</v>
      </c>
      <c r="F59" s="236">
        <f t="shared" ref="F59" si="16">SUM(F60:F65)</f>
        <v>78037.657899999991</v>
      </c>
      <c r="G59" s="236">
        <f>SUM(G60:G65)</f>
        <v>69793.866199999989</v>
      </c>
      <c r="H59" s="236">
        <f t="shared" ref="H59:J59" si="17">SUM(H60:H65)</f>
        <v>69793.866199999989</v>
      </c>
      <c r="I59" s="236">
        <f t="shared" si="17"/>
        <v>69793.866199999989</v>
      </c>
      <c r="J59" s="236">
        <f t="shared" si="17"/>
        <v>279175.46479999996</v>
      </c>
    </row>
    <row r="60" spans="1:10" s="240" customFormat="1" ht="16.5" customHeight="1" x14ac:dyDescent="0.25">
      <c r="A60" s="400"/>
      <c r="B60" s="402"/>
      <c r="C60" s="390"/>
      <c r="D60" s="277" t="s">
        <v>13</v>
      </c>
      <c r="E60" s="237">
        <f t="shared" si="14"/>
        <v>0</v>
      </c>
      <c r="F60" s="237">
        <v>0</v>
      </c>
      <c r="G60" s="237">
        <v>0</v>
      </c>
      <c r="H60" s="237">
        <v>0</v>
      </c>
      <c r="I60" s="237">
        <v>0</v>
      </c>
      <c r="J60" s="237">
        <f>I60*4</f>
        <v>0</v>
      </c>
    </row>
    <row r="61" spans="1:10" s="240" customFormat="1" ht="16.5" customHeight="1" x14ac:dyDescent="0.25">
      <c r="A61" s="400"/>
      <c r="B61" s="402"/>
      <c r="C61" s="390"/>
      <c r="D61" s="277" t="s">
        <v>14</v>
      </c>
      <c r="E61" s="237">
        <f t="shared" si="14"/>
        <v>0</v>
      </c>
      <c r="F61" s="237">
        <v>0</v>
      </c>
      <c r="G61" s="237">
        <v>0</v>
      </c>
      <c r="H61" s="237">
        <v>0</v>
      </c>
      <c r="I61" s="237">
        <v>0</v>
      </c>
      <c r="J61" s="237">
        <f t="shared" ref="J61:J65" si="18">I61*4</f>
        <v>0</v>
      </c>
    </row>
    <row r="62" spans="1:10" s="240" customFormat="1" ht="16.5" customHeight="1" x14ac:dyDescent="0.25">
      <c r="A62" s="400"/>
      <c r="B62" s="402"/>
      <c r="C62" s="390"/>
      <c r="D62" s="277" t="s">
        <v>15</v>
      </c>
      <c r="E62" s="237">
        <f t="shared" si="14"/>
        <v>356420.57738000003</v>
      </c>
      <c r="F62" s="237">
        <f>48628.6202+122.61579-0.00001</f>
        <v>48751.235979999998</v>
      </c>
      <c r="G62" s="237">
        <v>50115.620199999998</v>
      </c>
      <c r="H62" s="237">
        <v>45385.620199999998</v>
      </c>
      <c r="I62" s="237">
        <v>42433.620199999998</v>
      </c>
      <c r="J62" s="237">
        <f t="shared" si="18"/>
        <v>169734.48079999999</v>
      </c>
    </row>
    <row r="63" spans="1:10" s="240" customFormat="1" ht="30" x14ac:dyDescent="0.25">
      <c r="A63" s="400"/>
      <c r="B63" s="402"/>
      <c r="C63" s="390"/>
      <c r="D63" s="277" t="s">
        <v>94</v>
      </c>
      <c r="E63" s="237">
        <f t="shared" si="14"/>
        <v>0</v>
      </c>
      <c r="F63" s="237">
        <v>0</v>
      </c>
      <c r="G63" s="237">
        <v>0</v>
      </c>
      <c r="H63" s="237">
        <v>0</v>
      </c>
      <c r="I63" s="237">
        <v>0</v>
      </c>
      <c r="J63" s="237">
        <f t="shared" si="18"/>
        <v>0</v>
      </c>
    </row>
    <row r="64" spans="1:10" s="240" customFormat="1" ht="21" customHeight="1" x14ac:dyDescent="0.25">
      <c r="A64" s="400"/>
      <c r="B64" s="402"/>
      <c r="C64" s="390"/>
      <c r="D64" s="277" t="s">
        <v>93</v>
      </c>
      <c r="E64" s="237">
        <f t="shared" si="14"/>
        <v>0</v>
      </c>
      <c r="F64" s="237">
        <v>0</v>
      </c>
      <c r="G64" s="237">
        <v>0</v>
      </c>
      <c r="H64" s="237">
        <v>0</v>
      </c>
      <c r="I64" s="237">
        <v>0</v>
      </c>
      <c r="J64" s="237">
        <f t="shared" si="18"/>
        <v>0</v>
      </c>
    </row>
    <row r="65" spans="1:10" s="240" customFormat="1" ht="17.25" customHeight="1" x14ac:dyDescent="0.25">
      <c r="A65" s="400"/>
      <c r="B65" s="402"/>
      <c r="C65" s="390"/>
      <c r="D65" s="277" t="s">
        <v>18</v>
      </c>
      <c r="E65" s="237">
        <f t="shared" si="14"/>
        <v>210174.14392</v>
      </c>
      <c r="F65" s="237">
        <f>21165.246+8121.17592</f>
        <v>29286.421920000001</v>
      </c>
      <c r="G65" s="237">
        <v>19678.245999999999</v>
      </c>
      <c r="H65" s="237">
        <v>24408.245999999999</v>
      </c>
      <c r="I65" s="237">
        <v>27360.245999999999</v>
      </c>
      <c r="J65" s="237">
        <f t="shared" si="18"/>
        <v>109440.984</v>
      </c>
    </row>
    <row r="66" spans="1:10" s="239" customFormat="1" ht="21.75" customHeight="1" x14ac:dyDescent="0.25">
      <c r="A66" s="410" t="s">
        <v>125</v>
      </c>
      <c r="B66" s="401" t="s">
        <v>360</v>
      </c>
      <c r="C66" s="398" t="s">
        <v>364</v>
      </c>
      <c r="D66" s="241" t="s">
        <v>12</v>
      </c>
      <c r="E66" s="236">
        <f t="shared" si="14"/>
        <v>2660902.8404700002</v>
      </c>
      <c r="F66" s="236">
        <f>SUM(F67:F72)</f>
        <v>335110.62499000004</v>
      </c>
      <c r="G66" s="236">
        <f>SUM(G67:G72)</f>
        <v>331876.45099000004</v>
      </c>
      <c r="H66" s="236">
        <f>SUM(H67:H72)</f>
        <v>331876.45099000004</v>
      </c>
      <c r="I66" s="236">
        <f>SUM(I67:I72)</f>
        <v>332407.8627</v>
      </c>
      <c r="J66" s="236">
        <f t="shared" ref="J66" si="19">SUM(J67:J72)</f>
        <v>1329631.4508</v>
      </c>
    </row>
    <row r="67" spans="1:10" s="240" customFormat="1" ht="17.25" customHeight="1" x14ac:dyDescent="0.25">
      <c r="A67" s="411"/>
      <c r="B67" s="402"/>
      <c r="C67" s="398"/>
      <c r="D67" s="277" t="s">
        <v>13</v>
      </c>
      <c r="E67" s="237">
        <f t="shared" si="14"/>
        <v>0</v>
      </c>
      <c r="F67" s="237">
        <f>F74+F81</f>
        <v>0</v>
      </c>
      <c r="G67" s="237">
        <f t="shared" ref="G67:I67" si="20">G74+G81</f>
        <v>0</v>
      </c>
      <c r="H67" s="237">
        <f t="shared" si="20"/>
        <v>0</v>
      </c>
      <c r="I67" s="237">
        <f t="shared" si="20"/>
        <v>0</v>
      </c>
      <c r="J67" s="237">
        <f>J74+J81+J88</f>
        <v>0</v>
      </c>
    </row>
    <row r="68" spans="1:10" s="240" customFormat="1" ht="16.5" customHeight="1" x14ac:dyDescent="0.25">
      <c r="A68" s="411"/>
      <c r="B68" s="402"/>
      <c r="C68" s="398"/>
      <c r="D68" s="277" t="s">
        <v>14</v>
      </c>
      <c r="E68" s="237">
        <f t="shared" si="14"/>
        <v>0</v>
      </c>
      <c r="F68" s="237">
        <f t="shared" ref="F68:I72" si="21">F75+F82</f>
        <v>0</v>
      </c>
      <c r="G68" s="237">
        <f t="shared" si="21"/>
        <v>0</v>
      </c>
      <c r="H68" s="237">
        <f t="shared" si="21"/>
        <v>0</v>
      </c>
      <c r="I68" s="237">
        <f t="shared" si="21"/>
        <v>0</v>
      </c>
      <c r="J68" s="237">
        <f t="shared" ref="J68" si="22">J75+J82+J89</f>
        <v>0</v>
      </c>
    </row>
    <row r="69" spans="1:10" s="240" customFormat="1" ht="16.5" customHeight="1" x14ac:dyDescent="0.25">
      <c r="A69" s="411"/>
      <c r="B69" s="402"/>
      <c r="C69" s="398"/>
      <c r="D69" s="277" t="s">
        <v>15</v>
      </c>
      <c r="E69" s="237">
        <f>SUM(F69:J69)</f>
        <v>1117322.93692</v>
      </c>
      <c r="F69" s="237">
        <f t="shared" si="21"/>
        <v>228958.79375000001</v>
      </c>
      <c r="G69" s="237">
        <f t="shared" si="21"/>
        <v>154606.86821000002</v>
      </c>
      <c r="H69" s="237">
        <f t="shared" si="21"/>
        <v>138684.56731000001</v>
      </c>
      <c r="I69" s="237">
        <f t="shared" si="21"/>
        <v>119014.54153</v>
      </c>
      <c r="J69" s="237">
        <f>I69*4</f>
        <v>476058.16612000001</v>
      </c>
    </row>
    <row r="70" spans="1:10" s="240" customFormat="1" ht="30.75" customHeight="1" x14ac:dyDescent="0.25">
      <c r="A70" s="411"/>
      <c r="B70" s="402"/>
      <c r="C70" s="398"/>
      <c r="D70" s="277" t="s">
        <v>94</v>
      </c>
      <c r="E70" s="237">
        <f t="shared" si="14"/>
        <v>0</v>
      </c>
      <c r="F70" s="237">
        <f t="shared" si="21"/>
        <v>0</v>
      </c>
      <c r="G70" s="237">
        <f t="shared" si="21"/>
        <v>0</v>
      </c>
      <c r="H70" s="237">
        <f t="shared" si="21"/>
        <v>0</v>
      </c>
      <c r="I70" s="237">
        <f t="shared" si="21"/>
        <v>0</v>
      </c>
      <c r="J70" s="237">
        <f t="shared" ref="J70:J71" si="23">I70*4</f>
        <v>0</v>
      </c>
    </row>
    <row r="71" spans="1:10" s="240" customFormat="1" ht="17.25" customHeight="1" x14ac:dyDescent="0.25">
      <c r="A71" s="411"/>
      <c r="B71" s="402"/>
      <c r="C71" s="398"/>
      <c r="D71" s="277" t="s">
        <v>93</v>
      </c>
      <c r="E71" s="237">
        <f t="shared" si="14"/>
        <v>0</v>
      </c>
      <c r="F71" s="237">
        <f t="shared" si="21"/>
        <v>0</v>
      </c>
      <c r="G71" s="237">
        <f t="shared" si="21"/>
        <v>0</v>
      </c>
      <c r="H71" s="237">
        <f t="shared" si="21"/>
        <v>0</v>
      </c>
      <c r="I71" s="237">
        <f t="shared" si="21"/>
        <v>0</v>
      </c>
      <c r="J71" s="237">
        <f t="shared" si="23"/>
        <v>0</v>
      </c>
    </row>
    <row r="72" spans="1:10" s="240" customFormat="1" ht="17.25" customHeight="1" x14ac:dyDescent="0.25">
      <c r="A72" s="411"/>
      <c r="B72" s="402"/>
      <c r="C72" s="398"/>
      <c r="D72" s="277" t="s">
        <v>18</v>
      </c>
      <c r="E72" s="237">
        <f t="shared" si="14"/>
        <v>1543579.9035499999</v>
      </c>
      <c r="F72" s="237">
        <f>F79+F86</f>
        <v>106151.83124</v>
      </c>
      <c r="G72" s="237">
        <f t="shared" si="21"/>
        <v>177269.58278</v>
      </c>
      <c r="H72" s="237">
        <f t="shared" si="21"/>
        <v>193191.88368</v>
      </c>
      <c r="I72" s="237">
        <f t="shared" si="21"/>
        <v>213393.32117000001</v>
      </c>
      <c r="J72" s="237">
        <f>I79*4</f>
        <v>853573.28468000004</v>
      </c>
    </row>
    <row r="73" spans="1:10" s="240" customFormat="1" ht="21.75" customHeight="1" x14ac:dyDescent="0.25">
      <c r="A73" s="411"/>
      <c r="B73" s="402"/>
      <c r="C73" s="392" t="s">
        <v>8</v>
      </c>
      <c r="D73" s="241" t="s">
        <v>12</v>
      </c>
      <c r="E73" s="236">
        <f t="shared" si="14"/>
        <v>2654668.6664700001</v>
      </c>
      <c r="F73" s="236">
        <f>SUM(F74:F79)</f>
        <v>330876.45099000004</v>
      </c>
      <c r="G73" s="236">
        <f>SUM(G74:G79)</f>
        <v>330876.45099000004</v>
      </c>
      <c r="H73" s="236">
        <f>SUM(H74:H79)</f>
        <v>330876.45099000004</v>
      </c>
      <c r="I73" s="236">
        <f>SUM(I74:I79)</f>
        <v>332407.8627</v>
      </c>
      <c r="J73" s="236">
        <f t="shared" ref="J73" si="24">SUM(J74:J79)</f>
        <v>1329631.4508</v>
      </c>
    </row>
    <row r="74" spans="1:10" s="240" customFormat="1" x14ac:dyDescent="0.25">
      <c r="A74" s="411"/>
      <c r="B74" s="402"/>
      <c r="C74" s="393"/>
      <c r="D74" s="277" t="s">
        <v>13</v>
      </c>
      <c r="E74" s="237">
        <f t="shared" si="14"/>
        <v>0</v>
      </c>
      <c r="F74" s="237">
        <v>0</v>
      </c>
      <c r="G74" s="237">
        <v>0</v>
      </c>
      <c r="H74" s="237">
        <v>0</v>
      </c>
      <c r="I74" s="237">
        <v>0</v>
      </c>
      <c r="J74" s="237">
        <v>0</v>
      </c>
    </row>
    <row r="75" spans="1:10" s="240" customFormat="1" x14ac:dyDescent="0.25">
      <c r="A75" s="411"/>
      <c r="B75" s="402"/>
      <c r="C75" s="393"/>
      <c r="D75" s="277" t="s">
        <v>14</v>
      </c>
      <c r="E75" s="237">
        <f t="shared" si="14"/>
        <v>0</v>
      </c>
      <c r="F75" s="237">
        <v>0</v>
      </c>
      <c r="G75" s="237">
        <v>0</v>
      </c>
      <c r="H75" s="237">
        <v>0</v>
      </c>
      <c r="I75" s="237">
        <v>0</v>
      </c>
      <c r="J75" s="237">
        <v>0</v>
      </c>
    </row>
    <row r="76" spans="1:10" s="240" customFormat="1" x14ac:dyDescent="0.25">
      <c r="A76" s="411"/>
      <c r="B76" s="402"/>
      <c r="C76" s="393"/>
      <c r="D76" s="277" t="s">
        <v>15</v>
      </c>
      <c r="E76" s="237">
        <f t="shared" si="14"/>
        <v>1114322.93692</v>
      </c>
      <c r="F76" s="237">
        <f>243788.45769-4049.1-11780.56394</f>
        <v>227958.79375000001</v>
      </c>
      <c r="G76" s="237">
        <f>142039.74243-8514.9+20082.02578</f>
        <v>153606.86821000002</v>
      </c>
      <c r="H76" s="237">
        <f>119014.54153-1412+20082.02578</f>
        <v>137684.56731000001</v>
      </c>
      <c r="I76" s="237">
        <v>119014.54153</v>
      </c>
      <c r="J76" s="237">
        <f>I76*4</f>
        <v>476058.16612000001</v>
      </c>
    </row>
    <row r="77" spans="1:10" s="240" customFormat="1" ht="30" x14ac:dyDescent="0.25">
      <c r="A77" s="411"/>
      <c r="B77" s="402"/>
      <c r="C77" s="393"/>
      <c r="D77" s="277" t="s">
        <v>94</v>
      </c>
      <c r="E77" s="237">
        <f t="shared" si="14"/>
        <v>0</v>
      </c>
      <c r="F77" s="237">
        <v>0</v>
      </c>
      <c r="G77" s="237">
        <v>0</v>
      </c>
      <c r="H77" s="237">
        <v>0</v>
      </c>
      <c r="I77" s="237">
        <v>0</v>
      </c>
      <c r="J77" s="237">
        <v>0</v>
      </c>
    </row>
    <row r="78" spans="1:10" s="240" customFormat="1" x14ac:dyDescent="0.25">
      <c r="A78" s="411"/>
      <c r="B78" s="402"/>
      <c r="C78" s="393"/>
      <c r="D78" s="277" t="s">
        <v>93</v>
      </c>
      <c r="E78" s="237">
        <f t="shared" si="14"/>
        <v>0</v>
      </c>
      <c r="F78" s="237">
        <v>0</v>
      </c>
      <c r="G78" s="237">
        <v>0</v>
      </c>
      <c r="H78" s="237">
        <v>0</v>
      </c>
      <c r="I78" s="237">
        <v>0</v>
      </c>
      <c r="J78" s="237">
        <v>0</v>
      </c>
    </row>
    <row r="79" spans="1:10" s="240" customFormat="1" x14ac:dyDescent="0.25">
      <c r="A79" s="411"/>
      <c r="B79" s="402"/>
      <c r="C79" s="394"/>
      <c r="D79" s="277" t="s">
        <v>18</v>
      </c>
      <c r="E79" s="237">
        <f>SUM(F79:J79)</f>
        <v>1540345.72955</v>
      </c>
      <c r="F79" s="237">
        <f>88619.40501+4049.1+10249.15223</f>
        <v>102917.65724</v>
      </c>
      <c r="G79" s="237">
        <f>190368.12027+8514.9-21613.43749</f>
        <v>177269.58278</v>
      </c>
      <c r="H79" s="237">
        <f>213393.32117+1412-21613.43749</f>
        <v>193191.88368</v>
      </c>
      <c r="I79" s="237">
        <v>213393.32117000001</v>
      </c>
      <c r="J79" s="237">
        <f>I79*4</f>
        <v>853573.28468000004</v>
      </c>
    </row>
    <row r="80" spans="1:10" s="239" customFormat="1" ht="15" customHeight="1" x14ac:dyDescent="0.25">
      <c r="A80" s="411"/>
      <c r="B80" s="402"/>
      <c r="C80" s="390" t="s">
        <v>376</v>
      </c>
      <c r="D80" s="241" t="s">
        <v>12</v>
      </c>
      <c r="E80" s="236">
        <f t="shared" si="14"/>
        <v>6234.174</v>
      </c>
      <c r="F80" s="236">
        <f t="shared" ref="F80" si="25">SUM(F81:F86)</f>
        <v>4234.174</v>
      </c>
      <c r="G80" s="236">
        <f>SUM(G81:G86)</f>
        <v>1000</v>
      </c>
      <c r="H80" s="236">
        <f t="shared" ref="H80:J80" si="26">SUM(H81:H86)</f>
        <v>1000</v>
      </c>
      <c r="I80" s="236">
        <f t="shared" si="26"/>
        <v>0</v>
      </c>
      <c r="J80" s="236">
        <f t="shared" si="26"/>
        <v>0</v>
      </c>
    </row>
    <row r="81" spans="1:10" s="240" customFormat="1" x14ac:dyDescent="0.25">
      <c r="A81" s="411"/>
      <c r="B81" s="402"/>
      <c r="C81" s="390"/>
      <c r="D81" s="277" t="s">
        <v>13</v>
      </c>
      <c r="E81" s="237">
        <f t="shared" si="14"/>
        <v>0</v>
      </c>
      <c r="F81" s="237">
        <v>0</v>
      </c>
      <c r="G81" s="237">
        <v>0</v>
      </c>
      <c r="H81" s="237">
        <v>0</v>
      </c>
      <c r="I81" s="237">
        <v>0</v>
      </c>
      <c r="J81" s="237">
        <v>0</v>
      </c>
    </row>
    <row r="82" spans="1:10" s="240" customFormat="1" x14ac:dyDescent="0.25">
      <c r="A82" s="411"/>
      <c r="B82" s="402"/>
      <c r="C82" s="390"/>
      <c r="D82" s="277" t="s">
        <v>14</v>
      </c>
      <c r="E82" s="237">
        <f t="shared" si="14"/>
        <v>0</v>
      </c>
      <c r="F82" s="237">
        <v>0</v>
      </c>
      <c r="G82" s="237">
        <v>0</v>
      </c>
      <c r="H82" s="237">
        <v>0</v>
      </c>
      <c r="I82" s="237">
        <v>0</v>
      </c>
      <c r="J82" s="237">
        <v>0</v>
      </c>
    </row>
    <row r="83" spans="1:10" s="240" customFormat="1" x14ac:dyDescent="0.25">
      <c r="A83" s="411"/>
      <c r="B83" s="402"/>
      <c r="C83" s="390"/>
      <c r="D83" s="277" t="s">
        <v>15</v>
      </c>
      <c r="E83" s="237">
        <f t="shared" si="14"/>
        <v>3000</v>
      </c>
      <c r="F83" s="237">
        <v>1000</v>
      </c>
      <c r="G83" s="237">
        <v>1000</v>
      </c>
      <c r="H83" s="237">
        <f>G83</f>
        <v>1000</v>
      </c>
      <c r="I83" s="237">
        <v>0</v>
      </c>
      <c r="J83" s="237">
        <f>I83*4</f>
        <v>0</v>
      </c>
    </row>
    <row r="84" spans="1:10" s="240" customFormat="1" ht="30" x14ac:dyDescent="0.25">
      <c r="A84" s="411"/>
      <c r="B84" s="402"/>
      <c r="C84" s="390"/>
      <c r="D84" s="277" t="s">
        <v>94</v>
      </c>
      <c r="E84" s="237">
        <f t="shared" si="14"/>
        <v>0</v>
      </c>
      <c r="F84" s="237">
        <v>0</v>
      </c>
      <c r="G84" s="237">
        <v>0</v>
      </c>
      <c r="H84" s="237">
        <v>0</v>
      </c>
      <c r="I84" s="237">
        <v>0</v>
      </c>
      <c r="J84" s="237">
        <v>0</v>
      </c>
    </row>
    <row r="85" spans="1:10" s="240" customFormat="1" x14ac:dyDescent="0.25">
      <c r="A85" s="411"/>
      <c r="B85" s="402"/>
      <c r="C85" s="390"/>
      <c r="D85" s="277" t="s">
        <v>93</v>
      </c>
      <c r="E85" s="237">
        <f t="shared" si="14"/>
        <v>0</v>
      </c>
      <c r="F85" s="237">
        <v>0</v>
      </c>
      <c r="G85" s="237">
        <v>0</v>
      </c>
      <c r="H85" s="237">
        <v>0</v>
      </c>
      <c r="I85" s="237">
        <v>0</v>
      </c>
      <c r="J85" s="237">
        <v>0</v>
      </c>
    </row>
    <row r="86" spans="1:10" s="240" customFormat="1" x14ac:dyDescent="0.25">
      <c r="A86" s="411"/>
      <c r="B86" s="402"/>
      <c r="C86" s="390"/>
      <c r="D86" s="277" t="s">
        <v>18</v>
      </c>
      <c r="E86" s="237">
        <f t="shared" si="14"/>
        <v>3234.174</v>
      </c>
      <c r="F86" s="237">
        <v>3234.174</v>
      </c>
      <c r="G86" s="237">
        <v>0</v>
      </c>
      <c r="H86" s="237">
        <v>0</v>
      </c>
      <c r="I86" s="237">
        <f>H86</f>
        <v>0</v>
      </c>
      <c r="J86" s="237">
        <f>I86*4</f>
        <v>0</v>
      </c>
    </row>
    <row r="87" spans="1:10" s="239" customFormat="1" ht="16.5" hidden="1" customHeight="1" x14ac:dyDescent="0.25">
      <c r="A87" s="411"/>
      <c r="B87" s="402"/>
      <c r="C87" s="406" t="s">
        <v>327</v>
      </c>
      <c r="D87" s="241" t="s">
        <v>12</v>
      </c>
      <c r="E87" s="236">
        <f>SUM(F87:J87)</f>
        <v>0</v>
      </c>
      <c r="F87" s="236">
        <f t="shared" ref="F87" si="27">SUM(F88:F93)</f>
        <v>0</v>
      </c>
      <c r="G87" s="236">
        <f>SUM(G88:G93)</f>
        <v>0</v>
      </c>
      <c r="H87" s="236">
        <f t="shared" ref="H87" si="28">SUM(H88:H93)</f>
        <v>0</v>
      </c>
      <c r="I87" s="236">
        <f>SUM(I88:I93)</f>
        <v>0</v>
      </c>
      <c r="J87" s="236">
        <f t="shared" ref="J87" si="29">SUM(J88:J93)</f>
        <v>0</v>
      </c>
    </row>
    <row r="88" spans="1:10" s="240" customFormat="1" ht="15" hidden="1" customHeight="1" x14ac:dyDescent="0.25">
      <c r="A88" s="411"/>
      <c r="B88" s="402"/>
      <c r="C88" s="407"/>
      <c r="D88" s="277" t="s">
        <v>13</v>
      </c>
      <c r="E88" s="237">
        <f t="shared" ref="E88:E135" si="30">SUM(F88:J88)</f>
        <v>0</v>
      </c>
      <c r="F88" s="237">
        <v>0</v>
      </c>
      <c r="G88" s="237">
        <v>0</v>
      </c>
      <c r="H88" s="237">
        <v>0</v>
      </c>
      <c r="I88" s="237">
        <v>0</v>
      </c>
      <c r="J88" s="237">
        <v>0</v>
      </c>
    </row>
    <row r="89" spans="1:10" s="240" customFormat="1" ht="15" hidden="1" customHeight="1" x14ac:dyDescent="0.25">
      <c r="A89" s="411"/>
      <c r="B89" s="402"/>
      <c r="C89" s="407"/>
      <c r="D89" s="277" t="s">
        <v>14</v>
      </c>
      <c r="E89" s="237">
        <f t="shared" si="30"/>
        <v>0</v>
      </c>
      <c r="F89" s="237">
        <v>0</v>
      </c>
      <c r="G89" s="237">
        <v>0</v>
      </c>
      <c r="H89" s="237">
        <v>0</v>
      </c>
      <c r="I89" s="237">
        <v>0</v>
      </c>
      <c r="J89" s="237">
        <v>0</v>
      </c>
    </row>
    <row r="90" spans="1:10" s="240" customFormat="1" ht="15" hidden="1" customHeight="1" x14ac:dyDescent="0.25">
      <c r="A90" s="411"/>
      <c r="B90" s="402"/>
      <c r="C90" s="407"/>
      <c r="D90" s="277" t="s">
        <v>15</v>
      </c>
      <c r="E90" s="237">
        <f t="shared" si="30"/>
        <v>0</v>
      </c>
      <c r="F90" s="237">
        <v>0</v>
      </c>
      <c r="G90" s="237">
        <v>0</v>
      </c>
      <c r="H90" s="237">
        <v>0</v>
      </c>
      <c r="I90" s="237">
        <f>H90</f>
        <v>0</v>
      </c>
      <c r="J90" s="237">
        <f>I90*4</f>
        <v>0</v>
      </c>
    </row>
    <row r="91" spans="1:10" s="240" customFormat="1" ht="30" hidden="1" customHeight="1" x14ac:dyDescent="0.25">
      <c r="A91" s="411"/>
      <c r="B91" s="402"/>
      <c r="C91" s="407"/>
      <c r="D91" s="277" t="s">
        <v>94</v>
      </c>
      <c r="E91" s="237">
        <f t="shared" si="30"/>
        <v>0</v>
      </c>
      <c r="F91" s="237">
        <v>0</v>
      </c>
      <c r="G91" s="237">
        <v>0</v>
      </c>
      <c r="H91" s="237">
        <v>0</v>
      </c>
      <c r="I91" s="237">
        <v>0</v>
      </c>
      <c r="J91" s="237">
        <v>0</v>
      </c>
    </row>
    <row r="92" spans="1:10" s="240" customFormat="1" ht="15" hidden="1" customHeight="1" x14ac:dyDescent="0.25">
      <c r="A92" s="411"/>
      <c r="B92" s="402"/>
      <c r="C92" s="407"/>
      <c r="D92" s="277" t="s">
        <v>93</v>
      </c>
      <c r="E92" s="237">
        <f t="shared" si="30"/>
        <v>0</v>
      </c>
      <c r="F92" s="237">
        <v>0</v>
      </c>
      <c r="G92" s="237">
        <v>0</v>
      </c>
      <c r="H92" s="237">
        <v>0</v>
      </c>
      <c r="I92" s="237">
        <v>0</v>
      </c>
      <c r="J92" s="237">
        <v>0</v>
      </c>
    </row>
    <row r="93" spans="1:10" s="240" customFormat="1" ht="15" hidden="1" customHeight="1" x14ac:dyDescent="0.25">
      <c r="A93" s="412"/>
      <c r="B93" s="403"/>
      <c r="C93" s="408"/>
      <c r="D93" s="277" t="s">
        <v>18</v>
      </c>
      <c r="E93" s="237">
        <f t="shared" si="30"/>
        <v>0</v>
      </c>
      <c r="F93" s="237">
        <v>0</v>
      </c>
      <c r="G93" s="237">
        <v>0</v>
      </c>
      <c r="H93" s="237">
        <v>0</v>
      </c>
      <c r="I93" s="237">
        <v>0</v>
      </c>
      <c r="J93" s="237">
        <v>0</v>
      </c>
    </row>
    <row r="94" spans="1:10" s="240" customFormat="1" x14ac:dyDescent="0.25">
      <c r="A94" s="387" t="s">
        <v>126</v>
      </c>
      <c r="B94" s="409" t="s">
        <v>320</v>
      </c>
      <c r="C94" s="390" t="s">
        <v>8</v>
      </c>
      <c r="D94" s="241" t="s">
        <v>12</v>
      </c>
      <c r="E94" s="236">
        <f t="shared" si="30"/>
        <v>14696</v>
      </c>
      <c r="F94" s="236">
        <f t="shared" ref="F94" si="31">SUM(F95:F100)</f>
        <v>1837</v>
      </c>
      <c r="G94" s="236">
        <f>SUM(G95:G100)</f>
        <v>1837</v>
      </c>
      <c r="H94" s="236">
        <f t="shared" ref="H94:J94" si="32">SUM(H95:H100)</f>
        <v>1837</v>
      </c>
      <c r="I94" s="236">
        <f t="shared" si="32"/>
        <v>1837</v>
      </c>
      <c r="J94" s="236">
        <f t="shared" si="32"/>
        <v>7348</v>
      </c>
    </row>
    <row r="95" spans="1:10" s="240" customFormat="1" x14ac:dyDescent="0.25">
      <c r="A95" s="387"/>
      <c r="B95" s="409"/>
      <c r="C95" s="390"/>
      <c r="D95" s="277" t="s">
        <v>13</v>
      </c>
      <c r="E95" s="237">
        <f t="shared" si="30"/>
        <v>0</v>
      </c>
      <c r="F95" s="237">
        <v>0</v>
      </c>
      <c r="G95" s="237">
        <v>0</v>
      </c>
      <c r="H95" s="237">
        <v>0</v>
      </c>
      <c r="I95" s="237">
        <v>0</v>
      </c>
      <c r="J95" s="237">
        <v>0</v>
      </c>
    </row>
    <row r="96" spans="1:10" s="240" customFormat="1" x14ac:dyDescent="0.25">
      <c r="A96" s="387"/>
      <c r="B96" s="409"/>
      <c r="C96" s="390"/>
      <c r="D96" s="277" t="s">
        <v>14</v>
      </c>
      <c r="E96" s="237">
        <f t="shared" si="30"/>
        <v>0</v>
      </c>
      <c r="F96" s="237">
        <v>0</v>
      </c>
      <c r="G96" s="237">
        <v>0</v>
      </c>
      <c r="H96" s="237">
        <v>0</v>
      </c>
      <c r="I96" s="237">
        <v>0</v>
      </c>
      <c r="J96" s="237">
        <v>0</v>
      </c>
    </row>
    <row r="97" spans="1:10" s="240" customFormat="1" ht="22.5" customHeight="1" x14ac:dyDescent="0.25">
      <c r="A97" s="387"/>
      <c r="B97" s="409"/>
      <c r="C97" s="390"/>
      <c r="D97" s="277" t="s">
        <v>15</v>
      </c>
      <c r="E97" s="237">
        <f t="shared" si="30"/>
        <v>14696</v>
      </c>
      <c r="F97" s="237">
        <v>1837</v>
      </c>
      <c r="G97" s="237">
        <v>1837</v>
      </c>
      <c r="H97" s="237">
        <f>G97</f>
        <v>1837</v>
      </c>
      <c r="I97" s="237">
        <f>H97</f>
        <v>1837</v>
      </c>
      <c r="J97" s="237">
        <f>I97*4</f>
        <v>7348</v>
      </c>
    </row>
    <row r="98" spans="1:10" s="240" customFormat="1" ht="30" x14ac:dyDescent="0.25">
      <c r="A98" s="387"/>
      <c r="B98" s="409"/>
      <c r="C98" s="390"/>
      <c r="D98" s="277" t="s">
        <v>94</v>
      </c>
      <c r="E98" s="237">
        <f t="shared" si="30"/>
        <v>0</v>
      </c>
      <c r="F98" s="237">
        <v>0</v>
      </c>
      <c r="G98" s="237">
        <v>0</v>
      </c>
      <c r="H98" s="237">
        <v>0</v>
      </c>
      <c r="I98" s="237">
        <v>0</v>
      </c>
      <c r="J98" s="237">
        <f t="shared" ref="J98:J100" si="33">I98*4</f>
        <v>0</v>
      </c>
    </row>
    <row r="99" spans="1:10" s="240" customFormat="1" ht="21.75" customHeight="1" x14ac:dyDescent="0.25">
      <c r="A99" s="387"/>
      <c r="B99" s="409"/>
      <c r="C99" s="390"/>
      <c r="D99" s="277" t="s">
        <v>93</v>
      </c>
      <c r="E99" s="237">
        <f t="shared" si="30"/>
        <v>0</v>
      </c>
      <c r="F99" s="237">
        <v>0</v>
      </c>
      <c r="G99" s="237">
        <v>0</v>
      </c>
      <c r="H99" s="237">
        <v>0</v>
      </c>
      <c r="I99" s="237">
        <v>0</v>
      </c>
      <c r="J99" s="237">
        <f t="shared" si="33"/>
        <v>0</v>
      </c>
    </row>
    <row r="100" spans="1:10" s="240" customFormat="1" ht="46.5" customHeight="1" x14ac:dyDescent="0.25">
      <c r="A100" s="387"/>
      <c r="B100" s="409"/>
      <c r="C100" s="390"/>
      <c r="D100" s="277" t="s">
        <v>18</v>
      </c>
      <c r="E100" s="237">
        <f t="shared" si="30"/>
        <v>0</v>
      </c>
      <c r="F100" s="237">
        <v>0</v>
      </c>
      <c r="G100" s="237">
        <v>0</v>
      </c>
      <c r="H100" s="237">
        <v>0</v>
      </c>
      <c r="I100" s="237">
        <v>0</v>
      </c>
      <c r="J100" s="237">
        <f t="shared" si="33"/>
        <v>0</v>
      </c>
    </row>
    <row r="101" spans="1:10" s="240" customFormat="1" ht="15" customHeight="1" x14ac:dyDescent="0.25">
      <c r="A101" s="392" t="s">
        <v>318</v>
      </c>
      <c r="B101" s="395" t="s">
        <v>354</v>
      </c>
      <c r="C101" s="398" t="s">
        <v>128</v>
      </c>
      <c r="D101" s="241" t="s">
        <v>12</v>
      </c>
      <c r="E101" s="236">
        <f t="shared" si="30"/>
        <v>440491.24974</v>
      </c>
      <c r="F101" s="236">
        <f>SUM(F102:F107)</f>
        <v>57553.127630000003</v>
      </c>
      <c r="G101" s="236">
        <f>SUM(G102:G107)</f>
        <v>57553.12763000001</v>
      </c>
      <c r="H101" s="236">
        <f t="shared" ref="H101:J101" si="34">SUM(H102:H107)</f>
        <v>57553.12763000001</v>
      </c>
      <c r="I101" s="236">
        <f t="shared" si="34"/>
        <v>53566.373370000001</v>
      </c>
      <c r="J101" s="236">
        <f t="shared" si="34"/>
        <v>214265.49348</v>
      </c>
    </row>
    <row r="102" spans="1:10" s="242" customFormat="1" x14ac:dyDescent="0.25">
      <c r="A102" s="393"/>
      <c r="B102" s="396"/>
      <c r="C102" s="398"/>
      <c r="D102" s="277" t="s">
        <v>13</v>
      </c>
      <c r="E102" s="237">
        <f t="shared" si="30"/>
        <v>220.9</v>
      </c>
      <c r="F102" s="237">
        <v>74.7</v>
      </c>
      <c r="G102" s="237">
        <v>74.7</v>
      </c>
      <c r="H102" s="237">
        <f>0+71.5</f>
        <v>71.5</v>
      </c>
      <c r="I102" s="237">
        <v>0</v>
      </c>
      <c r="J102" s="237">
        <v>0</v>
      </c>
    </row>
    <row r="103" spans="1:10" s="242" customFormat="1" x14ac:dyDescent="0.25">
      <c r="A103" s="393"/>
      <c r="B103" s="396"/>
      <c r="C103" s="398"/>
      <c r="D103" s="277" t="s">
        <v>14</v>
      </c>
      <c r="E103" s="237">
        <f t="shared" si="30"/>
        <v>3162.3999999999996</v>
      </c>
      <c r="F103" s="237">
        <v>649.9</v>
      </c>
      <c r="G103" s="237">
        <v>1384.6</v>
      </c>
      <c r="H103" s="237">
        <f>1033.1+94.8</f>
        <v>1127.8999999999999</v>
      </c>
      <c r="I103" s="237">
        <v>0</v>
      </c>
      <c r="J103" s="237">
        <v>0</v>
      </c>
    </row>
    <row r="104" spans="1:10" s="240" customFormat="1" x14ac:dyDescent="0.25">
      <c r="A104" s="393"/>
      <c r="B104" s="396"/>
      <c r="C104" s="398"/>
      <c r="D104" s="277" t="s">
        <v>15</v>
      </c>
      <c r="E104" s="237">
        <f>SUM(F104:J104)</f>
        <v>163654.95208000002</v>
      </c>
      <c r="F104" s="237">
        <f>43441.50136-315.07718</f>
        <v>43126.424180000002</v>
      </c>
      <c r="G104" s="237">
        <f>32755.828+1079.2</f>
        <v>33835.027999999998</v>
      </c>
      <c r="H104" s="237">
        <f>27667.2789+1079.2</f>
        <v>28746.478900000002</v>
      </c>
      <c r="I104" s="237">
        <v>11589.404200000001</v>
      </c>
      <c r="J104" s="237">
        <f>I104*4</f>
        <v>46357.616800000003</v>
      </c>
    </row>
    <row r="105" spans="1:10" s="240" customFormat="1" ht="30" x14ac:dyDescent="0.25">
      <c r="A105" s="393"/>
      <c r="B105" s="396"/>
      <c r="C105" s="398"/>
      <c r="D105" s="277" t="s">
        <v>94</v>
      </c>
      <c r="E105" s="237">
        <f t="shared" si="30"/>
        <v>0</v>
      </c>
      <c r="F105" s="237">
        <v>0</v>
      </c>
      <c r="G105" s="237">
        <v>0</v>
      </c>
      <c r="H105" s="237">
        <v>0</v>
      </c>
      <c r="I105" s="237">
        <v>0</v>
      </c>
      <c r="J105" s="237">
        <f t="shared" ref="J105:J107" si="35">I105*4</f>
        <v>0</v>
      </c>
    </row>
    <row r="106" spans="1:10" s="240" customFormat="1" x14ac:dyDescent="0.25">
      <c r="A106" s="393"/>
      <c r="B106" s="396"/>
      <c r="C106" s="398"/>
      <c r="D106" s="277" t="s">
        <v>93</v>
      </c>
      <c r="E106" s="237">
        <f t="shared" si="30"/>
        <v>0</v>
      </c>
      <c r="F106" s="237">
        <v>0</v>
      </c>
      <c r="G106" s="237">
        <v>0</v>
      </c>
      <c r="H106" s="237">
        <v>0</v>
      </c>
      <c r="I106" s="237">
        <v>0</v>
      </c>
      <c r="J106" s="237">
        <f t="shared" si="35"/>
        <v>0</v>
      </c>
    </row>
    <row r="107" spans="1:10" s="240" customFormat="1" x14ac:dyDescent="0.25">
      <c r="A107" s="394"/>
      <c r="B107" s="397"/>
      <c r="C107" s="398"/>
      <c r="D107" s="277" t="s">
        <v>18</v>
      </c>
      <c r="E107" s="237">
        <f t="shared" si="30"/>
        <v>273452.99765999999</v>
      </c>
      <c r="F107" s="237">
        <f>10124.87201+3577.23144</f>
        <v>13702.103449999999</v>
      </c>
      <c r="G107" s="237">
        <f>F101-G102-G103-G104</f>
        <v>22258.799630000009</v>
      </c>
      <c r="H107" s="237">
        <f>G101-H102-H103-H104</f>
        <v>27607.248730000007</v>
      </c>
      <c r="I107" s="237">
        <v>41976.969169999997</v>
      </c>
      <c r="J107" s="237">
        <f t="shared" si="35"/>
        <v>167907.87667999999</v>
      </c>
    </row>
    <row r="108" spans="1:10" s="240" customFormat="1" x14ac:dyDescent="0.25">
      <c r="A108" s="404" t="s">
        <v>319</v>
      </c>
      <c r="B108" s="388" t="s">
        <v>355</v>
      </c>
      <c r="C108" s="390" t="s">
        <v>8</v>
      </c>
      <c r="D108" s="241" t="s">
        <v>12</v>
      </c>
      <c r="E108" s="236">
        <f t="shared" si="30"/>
        <v>52832.473570000002</v>
      </c>
      <c r="F108" s="236">
        <f t="shared" ref="F108:J108" si="36">SUM(F109:F114)</f>
        <v>9366.6769999999997</v>
      </c>
      <c r="G108" s="236">
        <f t="shared" si="36"/>
        <v>6209.3995100000002</v>
      </c>
      <c r="H108" s="236">
        <f t="shared" si="36"/>
        <v>6209.3995100000002</v>
      </c>
      <c r="I108" s="236">
        <f t="shared" si="36"/>
        <v>6209.3995100000002</v>
      </c>
      <c r="J108" s="236">
        <f t="shared" si="36"/>
        <v>24837.598040000001</v>
      </c>
    </row>
    <row r="109" spans="1:10" s="240" customFormat="1" x14ac:dyDescent="0.25">
      <c r="A109" s="387"/>
      <c r="B109" s="388"/>
      <c r="C109" s="390"/>
      <c r="D109" s="277" t="s">
        <v>13</v>
      </c>
      <c r="E109" s="237">
        <f t="shared" si="30"/>
        <v>0</v>
      </c>
      <c r="F109" s="237">
        <v>0</v>
      </c>
      <c r="G109" s="237">
        <v>0</v>
      </c>
      <c r="H109" s="237">
        <v>0</v>
      </c>
      <c r="I109" s="237">
        <v>0</v>
      </c>
      <c r="J109" s="237">
        <f>I109*4</f>
        <v>0</v>
      </c>
    </row>
    <row r="110" spans="1:10" s="240" customFormat="1" x14ac:dyDescent="0.25">
      <c r="A110" s="387"/>
      <c r="B110" s="388"/>
      <c r="C110" s="390"/>
      <c r="D110" s="277" t="s">
        <v>14</v>
      </c>
      <c r="E110" s="237">
        <f t="shared" si="30"/>
        <v>0</v>
      </c>
      <c r="F110" s="237">
        <v>0</v>
      </c>
      <c r="G110" s="237">
        <v>0</v>
      </c>
      <c r="H110" s="237">
        <v>0</v>
      </c>
      <c r="I110" s="237">
        <v>0</v>
      </c>
      <c r="J110" s="237">
        <f t="shared" ref="J110:J114" si="37">I110*4</f>
        <v>0</v>
      </c>
    </row>
    <row r="111" spans="1:10" s="240" customFormat="1" x14ac:dyDescent="0.25">
      <c r="A111" s="387"/>
      <c r="B111" s="388"/>
      <c r="C111" s="390"/>
      <c r="D111" s="277" t="s">
        <v>15</v>
      </c>
      <c r="E111" s="237">
        <f t="shared" si="30"/>
        <v>0</v>
      </c>
      <c r="F111" s="237">
        <v>0</v>
      </c>
      <c r="G111" s="237">
        <v>0</v>
      </c>
      <c r="H111" s="237">
        <v>0</v>
      </c>
      <c r="I111" s="237">
        <v>0</v>
      </c>
      <c r="J111" s="237">
        <f t="shared" si="37"/>
        <v>0</v>
      </c>
    </row>
    <row r="112" spans="1:10" s="240" customFormat="1" ht="30" x14ac:dyDescent="0.25">
      <c r="A112" s="387"/>
      <c r="B112" s="388"/>
      <c r="C112" s="390"/>
      <c r="D112" s="277" t="s">
        <v>94</v>
      </c>
      <c r="E112" s="237">
        <f t="shared" si="30"/>
        <v>0</v>
      </c>
      <c r="F112" s="237">
        <v>0</v>
      </c>
      <c r="G112" s="237">
        <v>0</v>
      </c>
      <c r="H112" s="237">
        <v>0</v>
      </c>
      <c r="I112" s="237">
        <v>0</v>
      </c>
      <c r="J112" s="237">
        <f t="shared" si="37"/>
        <v>0</v>
      </c>
    </row>
    <row r="113" spans="1:10" s="240" customFormat="1" x14ac:dyDescent="0.25">
      <c r="A113" s="387"/>
      <c r="B113" s="388"/>
      <c r="C113" s="390"/>
      <c r="D113" s="277" t="s">
        <v>93</v>
      </c>
      <c r="E113" s="237">
        <f t="shared" si="30"/>
        <v>0</v>
      </c>
      <c r="F113" s="237">
        <v>0</v>
      </c>
      <c r="G113" s="237">
        <v>0</v>
      </c>
      <c r="H113" s="237">
        <v>0</v>
      </c>
      <c r="I113" s="237">
        <v>0</v>
      </c>
      <c r="J113" s="237">
        <f t="shared" si="37"/>
        <v>0</v>
      </c>
    </row>
    <row r="114" spans="1:10" s="240" customFormat="1" x14ac:dyDescent="0.25">
      <c r="A114" s="387"/>
      <c r="B114" s="388"/>
      <c r="C114" s="390"/>
      <c r="D114" s="277" t="s">
        <v>18</v>
      </c>
      <c r="E114" s="237">
        <f t="shared" si="30"/>
        <v>52832.473570000002</v>
      </c>
      <c r="F114" s="237">
        <f>6209.39951+3157.27749</f>
        <v>9366.6769999999997</v>
      </c>
      <c r="G114" s="237">
        <v>6209.3995100000002</v>
      </c>
      <c r="H114" s="237">
        <v>6209.3995100000002</v>
      </c>
      <c r="I114" s="237">
        <v>6209.3995100000002</v>
      </c>
      <c r="J114" s="237">
        <f t="shared" si="37"/>
        <v>24837.598040000001</v>
      </c>
    </row>
    <row r="115" spans="1:10" s="240" customFormat="1" hidden="1" x14ac:dyDescent="0.25">
      <c r="A115" s="399"/>
      <c r="B115" s="406"/>
      <c r="C115" s="390" t="s">
        <v>304</v>
      </c>
      <c r="D115" s="277" t="s">
        <v>12</v>
      </c>
      <c r="E115" s="237">
        <f t="shared" si="30"/>
        <v>0</v>
      </c>
      <c r="F115" s="237">
        <f t="shared" ref="F115" si="38">SUM(F116:F121)</f>
        <v>0</v>
      </c>
      <c r="G115" s="237">
        <f>SUM(G116:G121)</f>
        <v>0</v>
      </c>
      <c r="H115" s="237">
        <f t="shared" ref="H115:J115" si="39">SUM(H116:H121)</f>
        <v>0</v>
      </c>
      <c r="I115" s="237">
        <f t="shared" si="39"/>
        <v>0</v>
      </c>
      <c r="J115" s="237">
        <f t="shared" si="39"/>
        <v>0</v>
      </c>
    </row>
    <row r="116" spans="1:10" s="240" customFormat="1" hidden="1" x14ac:dyDescent="0.25">
      <c r="A116" s="400"/>
      <c r="B116" s="407"/>
      <c r="C116" s="390"/>
      <c r="D116" s="277" t="s">
        <v>13</v>
      </c>
      <c r="E116" s="237">
        <f t="shared" si="30"/>
        <v>0</v>
      </c>
      <c r="F116" s="237"/>
      <c r="G116" s="237"/>
      <c r="H116" s="237"/>
      <c r="I116" s="237"/>
      <c r="J116" s="237"/>
    </row>
    <row r="117" spans="1:10" s="240" customFormat="1" hidden="1" x14ac:dyDescent="0.25">
      <c r="A117" s="400"/>
      <c r="B117" s="407"/>
      <c r="C117" s="390"/>
      <c r="D117" s="277" t="s">
        <v>14</v>
      </c>
      <c r="E117" s="237">
        <f t="shared" si="30"/>
        <v>0</v>
      </c>
      <c r="F117" s="237"/>
      <c r="G117" s="237"/>
      <c r="H117" s="237"/>
      <c r="I117" s="237"/>
      <c r="J117" s="237"/>
    </row>
    <row r="118" spans="1:10" s="240" customFormat="1" hidden="1" x14ac:dyDescent="0.25">
      <c r="A118" s="400"/>
      <c r="B118" s="407"/>
      <c r="C118" s="390"/>
      <c r="D118" s="277" t="s">
        <v>15</v>
      </c>
      <c r="E118" s="237">
        <f t="shared" si="30"/>
        <v>0</v>
      </c>
      <c r="F118" s="282"/>
      <c r="G118" s="282"/>
      <c r="H118" s="237"/>
      <c r="I118" s="237"/>
      <c r="J118" s="237"/>
    </row>
    <row r="119" spans="1:10" s="240" customFormat="1" ht="30" hidden="1" x14ac:dyDescent="0.25">
      <c r="A119" s="400"/>
      <c r="B119" s="407"/>
      <c r="C119" s="390"/>
      <c r="D119" s="277" t="s">
        <v>94</v>
      </c>
      <c r="E119" s="237">
        <f t="shared" si="30"/>
        <v>0</v>
      </c>
      <c r="F119" s="237"/>
      <c r="G119" s="237"/>
      <c r="H119" s="237"/>
      <c r="I119" s="237"/>
      <c r="J119" s="237"/>
    </row>
    <row r="120" spans="1:10" s="240" customFormat="1" hidden="1" x14ac:dyDescent="0.25">
      <c r="A120" s="400"/>
      <c r="B120" s="407"/>
      <c r="C120" s="390"/>
      <c r="D120" s="277" t="s">
        <v>93</v>
      </c>
      <c r="E120" s="237">
        <f t="shared" si="30"/>
        <v>0</v>
      </c>
      <c r="F120" s="237"/>
      <c r="G120" s="237"/>
      <c r="H120" s="237"/>
      <c r="I120" s="237"/>
      <c r="J120" s="237"/>
    </row>
    <row r="121" spans="1:10" s="240" customFormat="1" hidden="1" x14ac:dyDescent="0.25">
      <c r="A121" s="405"/>
      <c r="B121" s="408"/>
      <c r="C121" s="390"/>
      <c r="D121" s="277" t="s">
        <v>18</v>
      </c>
      <c r="E121" s="237">
        <f t="shared" si="30"/>
        <v>0</v>
      </c>
      <c r="F121" s="282"/>
      <c r="G121" s="282"/>
      <c r="H121" s="237"/>
      <c r="I121" s="237"/>
      <c r="J121" s="237"/>
    </row>
    <row r="122" spans="1:10" s="240" customFormat="1" x14ac:dyDescent="0.25">
      <c r="A122" s="387" t="s">
        <v>321</v>
      </c>
      <c r="B122" s="388" t="s">
        <v>352</v>
      </c>
      <c r="C122" s="390" t="s">
        <v>128</v>
      </c>
      <c r="D122" s="241" t="s">
        <v>12</v>
      </c>
      <c r="E122" s="236">
        <f t="shared" si="30"/>
        <v>50</v>
      </c>
      <c r="F122" s="236">
        <f t="shared" ref="F122" si="40">SUM(F123:F128)</f>
        <v>50</v>
      </c>
      <c r="G122" s="236">
        <f>SUM(G123:G128)</f>
        <v>0</v>
      </c>
      <c r="H122" s="236">
        <f t="shared" ref="H122:J122" si="41">SUM(H123:H128)</f>
        <v>0</v>
      </c>
      <c r="I122" s="236">
        <f t="shared" si="41"/>
        <v>0</v>
      </c>
      <c r="J122" s="236">
        <f t="shared" si="41"/>
        <v>0</v>
      </c>
    </row>
    <row r="123" spans="1:10" s="240" customFormat="1" x14ac:dyDescent="0.25">
      <c r="A123" s="387"/>
      <c r="B123" s="388"/>
      <c r="C123" s="390"/>
      <c r="D123" s="277" t="s">
        <v>13</v>
      </c>
      <c r="E123" s="237">
        <f t="shared" si="30"/>
        <v>0</v>
      </c>
      <c r="F123" s="237">
        <v>0</v>
      </c>
      <c r="G123" s="237">
        <v>0</v>
      </c>
      <c r="H123" s="237">
        <v>0</v>
      </c>
      <c r="I123" s="237">
        <v>0</v>
      </c>
      <c r="J123" s="237">
        <v>0</v>
      </c>
    </row>
    <row r="124" spans="1:10" s="240" customFormat="1" x14ac:dyDescent="0.25">
      <c r="A124" s="387"/>
      <c r="B124" s="388"/>
      <c r="C124" s="390"/>
      <c r="D124" s="277" t="s">
        <v>14</v>
      </c>
      <c r="E124" s="237">
        <f t="shared" si="30"/>
        <v>0</v>
      </c>
      <c r="F124" s="237">
        <v>0</v>
      </c>
      <c r="G124" s="237">
        <v>0</v>
      </c>
      <c r="H124" s="237">
        <v>0</v>
      </c>
      <c r="I124" s="237">
        <v>0</v>
      </c>
      <c r="J124" s="237">
        <v>0</v>
      </c>
    </row>
    <row r="125" spans="1:10" s="240" customFormat="1" x14ac:dyDescent="0.25">
      <c r="A125" s="387"/>
      <c r="B125" s="388"/>
      <c r="C125" s="390"/>
      <c r="D125" s="277" t="s">
        <v>15</v>
      </c>
      <c r="E125" s="237">
        <f t="shared" si="30"/>
        <v>0</v>
      </c>
      <c r="F125" s="237">
        <v>0</v>
      </c>
      <c r="G125" s="237">
        <v>0</v>
      </c>
      <c r="H125" s="237">
        <v>0</v>
      </c>
      <c r="I125" s="237">
        <f>H125</f>
        <v>0</v>
      </c>
      <c r="J125" s="237">
        <f>I125*4</f>
        <v>0</v>
      </c>
    </row>
    <row r="126" spans="1:10" s="240" customFormat="1" ht="30" x14ac:dyDescent="0.25">
      <c r="A126" s="387"/>
      <c r="B126" s="388"/>
      <c r="C126" s="390"/>
      <c r="D126" s="277" t="s">
        <v>94</v>
      </c>
      <c r="E126" s="237">
        <f t="shared" si="30"/>
        <v>0</v>
      </c>
      <c r="F126" s="237">
        <v>0</v>
      </c>
      <c r="G126" s="237">
        <v>0</v>
      </c>
      <c r="H126" s="237">
        <v>0</v>
      </c>
      <c r="I126" s="237">
        <v>0</v>
      </c>
      <c r="J126" s="237">
        <v>0</v>
      </c>
    </row>
    <row r="127" spans="1:10" s="240" customFormat="1" x14ac:dyDescent="0.25">
      <c r="A127" s="387"/>
      <c r="B127" s="388"/>
      <c r="C127" s="390"/>
      <c r="D127" s="277" t="s">
        <v>93</v>
      </c>
      <c r="E127" s="237">
        <f t="shared" si="30"/>
        <v>0</v>
      </c>
      <c r="F127" s="237">
        <v>0</v>
      </c>
      <c r="G127" s="237">
        <v>0</v>
      </c>
      <c r="H127" s="237">
        <v>0</v>
      </c>
      <c r="I127" s="237">
        <v>0</v>
      </c>
      <c r="J127" s="237">
        <v>0</v>
      </c>
    </row>
    <row r="128" spans="1:10" s="240" customFormat="1" x14ac:dyDescent="0.25">
      <c r="A128" s="387"/>
      <c r="B128" s="388"/>
      <c r="C128" s="390"/>
      <c r="D128" s="277" t="s">
        <v>18</v>
      </c>
      <c r="E128" s="237">
        <f t="shared" si="30"/>
        <v>50</v>
      </c>
      <c r="F128" s="237">
        <v>50</v>
      </c>
      <c r="G128" s="237">
        <v>0</v>
      </c>
      <c r="H128" s="237">
        <v>0</v>
      </c>
      <c r="I128" s="237">
        <v>0</v>
      </c>
      <c r="J128" s="237">
        <v>0</v>
      </c>
    </row>
    <row r="129" spans="1:10" s="239" customFormat="1" x14ac:dyDescent="0.25">
      <c r="A129" s="391" t="s">
        <v>127</v>
      </c>
      <c r="B129" s="391"/>
      <c r="C129" s="391"/>
      <c r="D129" s="241" t="s">
        <v>12</v>
      </c>
      <c r="E129" s="236">
        <f t="shared" si="30"/>
        <v>3735777.2850799998</v>
      </c>
      <c r="F129" s="236">
        <f t="shared" ref="F129" si="42">SUM(F130:F135)</f>
        <v>482025.08752</v>
      </c>
      <c r="G129" s="236">
        <f>SUM(G130:G135)</f>
        <v>467339.84432999999</v>
      </c>
      <c r="H129" s="236">
        <f t="shared" ref="H129:J129" si="43">SUM(H130:H135)</f>
        <v>467339.84432999999</v>
      </c>
      <c r="I129" s="236">
        <f t="shared" si="43"/>
        <v>463814.50177999999</v>
      </c>
      <c r="J129" s="236">
        <f t="shared" si="43"/>
        <v>1855258.00712</v>
      </c>
    </row>
    <row r="130" spans="1:10" s="239" customFormat="1" x14ac:dyDescent="0.25">
      <c r="A130" s="391"/>
      <c r="B130" s="391"/>
      <c r="C130" s="391"/>
      <c r="D130" s="277" t="s">
        <v>13</v>
      </c>
      <c r="E130" s="237">
        <f t="shared" si="30"/>
        <v>220.9</v>
      </c>
      <c r="F130" s="237">
        <f>F46+F53+F60+F67+F95+F102+F109+F123</f>
        <v>74.7</v>
      </c>
      <c r="G130" s="237">
        <f t="shared" ref="G130:J135" si="44">G46+G53+G60+G67+G95+G102+G109+G123</f>
        <v>74.7</v>
      </c>
      <c r="H130" s="237">
        <f t="shared" si="44"/>
        <v>71.5</v>
      </c>
      <c r="I130" s="237">
        <f t="shared" si="44"/>
        <v>0</v>
      </c>
      <c r="J130" s="237">
        <f t="shared" si="44"/>
        <v>0</v>
      </c>
    </row>
    <row r="131" spans="1:10" s="239" customFormat="1" x14ac:dyDescent="0.25">
      <c r="A131" s="391"/>
      <c r="B131" s="391"/>
      <c r="C131" s="391"/>
      <c r="D131" s="277" t="s">
        <v>14</v>
      </c>
      <c r="E131" s="237">
        <f t="shared" si="30"/>
        <v>3162.3999999999996</v>
      </c>
      <c r="F131" s="237">
        <f t="shared" ref="F131:H135" si="45">F47+F54+F61+F68+F96+F103+F110+F124</f>
        <v>649.9</v>
      </c>
      <c r="G131" s="237">
        <f t="shared" si="44"/>
        <v>1384.6</v>
      </c>
      <c r="H131" s="237">
        <f t="shared" si="44"/>
        <v>1127.8999999999999</v>
      </c>
      <c r="I131" s="237">
        <f t="shared" si="44"/>
        <v>0</v>
      </c>
      <c r="J131" s="237">
        <f t="shared" si="44"/>
        <v>0</v>
      </c>
    </row>
    <row r="132" spans="1:10" s="239" customFormat="1" x14ac:dyDescent="0.25">
      <c r="A132" s="391"/>
      <c r="B132" s="391"/>
      <c r="C132" s="391"/>
      <c r="D132" s="277" t="s">
        <v>15</v>
      </c>
      <c r="E132" s="237">
        <f t="shared" si="30"/>
        <v>1652304.4663800001</v>
      </c>
      <c r="F132" s="237">
        <f t="shared" si="45"/>
        <v>322743.45391000004</v>
      </c>
      <c r="G132" s="237">
        <f t="shared" si="44"/>
        <v>240464.51641000001</v>
      </c>
      <c r="H132" s="237">
        <f t="shared" si="44"/>
        <v>214723.66641000001</v>
      </c>
      <c r="I132" s="237">
        <f t="shared" si="44"/>
        <v>174874.56592999998</v>
      </c>
      <c r="J132" s="237">
        <f t="shared" si="44"/>
        <v>699498.26371999993</v>
      </c>
    </row>
    <row r="133" spans="1:10" s="239" customFormat="1" ht="30" x14ac:dyDescent="0.25">
      <c r="A133" s="391"/>
      <c r="B133" s="391"/>
      <c r="C133" s="391"/>
      <c r="D133" s="277" t="s">
        <v>94</v>
      </c>
      <c r="E133" s="237">
        <f t="shared" si="30"/>
        <v>0</v>
      </c>
      <c r="F133" s="237">
        <f t="shared" si="45"/>
        <v>0</v>
      </c>
      <c r="G133" s="237">
        <f t="shared" si="44"/>
        <v>0</v>
      </c>
      <c r="H133" s="237">
        <f t="shared" si="44"/>
        <v>0</v>
      </c>
      <c r="I133" s="237">
        <f t="shared" si="44"/>
        <v>0</v>
      </c>
      <c r="J133" s="237">
        <f t="shared" si="44"/>
        <v>0</v>
      </c>
    </row>
    <row r="134" spans="1:10" s="239" customFormat="1" x14ac:dyDescent="0.25">
      <c r="A134" s="391"/>
      <c r="B134" s="391"/>
      <c r="C134" s="391"/>
      <c r="D134" s="277" t="s">
        <v>93</v>
      </c>
      <c r="E134" s="237">
        <f t="shared" si="30"/>
        <v>0</v>
      </c>
      <c r="F134" s="237">
        <f t="shared" si="45"/>
        <v>0</v>
      </c>
      <c r="G134" s="237">
        <f t="shared" si="44"/>
        <v>0</v>
      </c>
      <c r="H134" s="237">
        <f t="shared" si="44"/>
        <v>0</v>
      </c>
      <c r="I134" s="237">
        <f t="shared" si="44"/>
        <v>0</v>
      </c>
      <c r="J134" s="237">
        <f t="shared" si="44"/>
        <v>0</v>
      </c>
    </row>
    <row r="135" spans="1:10" s="239" customFormat="1" x14ac:dyDescent="0.25">
      <c r="A135" s="391"/>
      <c r="B135" s="391"/>
      <c r="C135" s="391"/>
      <c r="D135" s="277" t="s">
        <v>18</v>
      </c>
      <c r="E135" s="237">
        <f t="shared" si="30"/>
        <v>2080089.5186999999</v>
      </c>
      <c r="F135" s="237">
        <f t="shared" si="45"/>
        <v>158557.03360999998</v>
      </c>
      <c r="G135" s="237">
        <f t="shared" si="45"/>
        <v>225416.02791999999</v>
      </c>
      <c r="H135" s="237">
        <f t="shared" si="45"/>
        <v>251416.77791999999</v>
      </c>
      <c r="I135" s="237">
        <f>I51+I58+I65+I79+I100+I107+I114+I128</f>
        <v>288939.93585000001</v>
      </c>
      <c r="J135" s="237">
        <f t="shared" si="44"/>
        <v>1155759.7434</v>
      </c>
    </row>
    <row r="136" spans="1:10" s="239" customFormat="1" x14ac:dyDescent="0.25">
      <c r="A136" s="386" t="s">
        <v>324</v>
      </c>
      <c r="B136" s="386"/>
      <c r="C136" s="386"/>
      <c r="D136" s="386"/>
      <c r="E136" s="386"/>
      <c r="F136" s="386"/>
      <c r="G136" s="386"/>
      <c r="H136" s="386"/>
      <c r="I136" s="386"/>
      <c r="J136" s="386"/>
    </row>
    <row r="137" spans="1:10" s="240" customFormat="1" ht="15" customHeight="1" x14ac:dyDescent="0.25">
      <c r="A137" s="399" t="s">
        <v>129</v>
      </c>
      <c r="B137" s="401" t="s">
        <v>356</v>
      </c>
      <c r="C137" s="398" t="s">
        <v>128</v>
      </c>
      <c r="D137" s="241" t="s">
        <v>12</v>
      </c>
      <c r="E137" s="243">
        <f t="shared" ref="E137:E163" si="46">SUM(F137:J137)</f>
        <v>937860.36265999998</v>
      </c>
      <c r="F137" s="243">
        <f t="shared" ref="F137" si="47">SUM(F138:F143)</f>
        <v>120869.83026</v>
      </c>
      <c r="G137" s="243">
        <f>SUM(G138:G143)</f>
        <v>116712.9332</v>
      </c>
      <c r="H137" s="243">
        <f t="shared" ref="H137:J137" si="48">SUM(H138:H143)</f>
        <v>116712.9332</v>
      </c>
      <c r="I137" s="243">
        <f t="shared" si="48"/>
        <v>116712.9332</v>
      </c>
      <c r="J137" s="243">
        <f t="shared" si="48"/>
        <v>466851.7328</v>
      </c>
    </row>
    <row r="138" spans="1:10" s="240" customFormat="1" x14ac:dyDescent="0.25">
      <c r="A138" s="400"/>
      <c r="B138" s="402"/>
      <c r="C138" s="398"/>
      <c r="D138" s="277" t="s">
        <v>13</v>
      </c>
      <c r="E138" s="244">
        <f t="shared" si="46"/>
        <v>0</v>
      </c>
      <c r="F138" s="244">
        <v>0</v>
      </c>
      <c r="G138" s="244">
        <v>0</v>
      </c>
      <c r="H138" s="244">
        <v>0</v>
      </c>
      <c r="I138" s="244">
        <v>0</v>
      </c>
      <c r="J138" s="244">
        <v>0</v>
      </c>
    </row>
    <row r="139" spans="1:10" s="240" customFormat="1" x14ac:dyDescent="0.25">
      <c r="A139" s="400"/>
      <c r="B139" s="402"/>
      <c r="C139" s="398"/>
      <c r="D139" s="277" t="s">
        <v>14</v>
      </c>
      <c r="E139" s="244">
        <f t="shared" si="46"/>
        <v>0</v>
      </c>
      <c r="F139" s="244">
        <v>0</v>
      </c>
      <c r="G139" s="244">
        <v>0</v>
      </c>
      <c r="H139" s="244">
        <v>0</v>
      </c>
      <c r="I139" s="244">
        <v>0</v>
      </c>
      <c r="J139" s="244">
        <v>0</v>
      </c>
    </row>
    <row r="140" spans="1:10" s="240" customFormat="1" x14ac:dyDescent="0.25">
      <c r="A140" s="400"/>
      <c r="B140" s="402"/>
      <c r="C140" s="398"/>
      <c r="D140" s="277" t="s">
        <v>15</v>
      </c>
      <c r="E140" s="244">
        <f t="shared" si="46"/>
        <v>621908.74257</v>
      </c>
      <c r="F140" s="244">
        <v>79218.742830000003</v>
      </c>
      <c r="G140" s="244">
        <v>80349.542820000002</v>
      </c>
      <c r="H140" s="244">
        <v>77056.742819999999</v>
      </c>
      <c r="I140" s="244">
        <v>77056.742819999999</v>
      </c>
      <c r="J140" s="244">
        <f>I140*4</f>
        <v>308226.97128</v>
      </c>
    </row>
    <row r="141" spans="1:10" s="240" customFormat="1" ht="30" x14ac:dyDescent="0.25">
      <c r="A141" s="400"/>
      <c r="B141" s="402"/>
      <c r="C141" s="398"/>
      <c r="D141" s="277" t="s">
        <v>94</v>
      </c>
      <c r="E141" s="244">
        <f t="shared" si="46"/>
        <v>0</v>
      </c>
      <c r="F141" s="244">
        <v>0</v>
      </c>
      <c r="G141" s="244">
        <v>0</v>
      </c>
      <c r="H141" s="244">
        <v>0</v>
      </c>
      <c r="I141" s="244">
        <v>0</v>
      </c>
      <c r="J141" s="244">
        <f t="shared" ref="J141:J143" si="49">I141*4</f>
        <v>0</v>
      </c>
    </row>
    <row r="142" spans="1:10" s="240" customFormat="1" x14ac:dyDescent="0.25">
      <c r="A142" s="400"/>
      <c r="B142" s="402"/>
      <c r="C142" s="398"/>
      <c r="D142" s="277" t="s">
        <v>93</v>
      </c>
      <c r="E142" s="244">
        <f t="shared" si="46"/>
        <v>0</v>
      </c>
      <c r="F142" s="244">
        <v>0</v>
      </c>
      <c r="G142" s="244">
        <v>0</v>
      </c>
      <c r="H142" s="244">
        <v>0</v>
      </c>
      <c r="I142" s="244">
        <v>0</v>
      </c>
      <c r="J142" s="244">
        <f t="shared" si="49"/>
        <v>0</v>
      </c>
    </row>
    <row r="143" spans="1:10" s="240" customFormat="1" ht="24" customHeight="1" x14ac:dyDescent="0.25">
      <c r="A143" s="400"/>
      <c r="B143" s="403"/>
      <c r="C143" s="398"/>
      <c r="D143" s="277" t="s">
        <v>18</v>
      </c>
      <c r="E143" s="244">
        <f t="shared" si="46"/>
        <v>315951.62008999998</v>
      </c>
      <c r="F143" s="244">
        <f>37494.19037+4156.89706</f>
        <v>41651.08743</v>
      </c>
      <c r="G143" s="244">
        <v>36363.390379999997</v>
      </c>
      <c r="H143" s="244">
        <v>39656.19038</v>
      </c>
      <c r="I143" s="244">
        <v>39656.19038</v>
      </c>
      <c r="J143" s="244">
        <f t="shared" si="49"/>
        <v>158624.76152</v>
      </c>
    </row>
    <row r="144" spans="1:10" s="240" customFormat="1" x14ac:dyDescent="0.25">
      <c r="A144" s="387" t="s">
        <v>130</v>
      </c>
      <c r="B144" s="388" t="s">
        <v>353</v>
      </c>
      <c r="C144" s="390" t="s">
        <v>335</v>
      </c>
      <c r="D144" s="277" t="s">
        <v>12</v>
      </c>
      <c r="E144" s="243">
        <f>SUM(F144:J144)</f>
        <v>102924.86</v>
      </c>
      <c r="F144" s="243">
        <f t="shared" ref="F144" si="50">SUM(F145:F150)</f>
        <v>12825.494999999999</v>
      </c>
      <c r="G144" s="243">
        <f>SUM(G145:G150)</f>
        <v>12847.595000000001</v>
      </c>
      <c r="H144" s="243">
        <f t="shared" ref="H144:J144" si="51">SUM(H145:H150)</f>
        <v>12875.295</v>
      </c>
      <c r="I144" s="243">
        <f t="shared" si="51"/>
        <v>12875.295</v>
      </c>
      <c r="J144" s="243">
        <f t="shared" si="51"/>
        <v>51501.18</v>
      </c>
    </row>
    <row r="145" spans="1:11" s="240" customFormat="1" x14ac:dyDescent="0.25">
      <c r="A145" s="387"/>
      <c r="B145" s="388"/>
      <c r="C145" s="390"/>
      <c r="D145" s="277" t="s">
        <v>13</v>
      </c>
      <c r="E145" s="244">
        <f t="shared" si="46"/>
        <v>0</v>
      </c>
      <c r="F145" s="244">
        <v>0</v>
      </c>
      <c r="G145" s="244">
        <v>0</v>
      </c>
      <c r="H145" s="244">
        <v>0</v>
      </c>
      <c r="I145" s="244">
        <v>0</v>
      </c>
      <c r="J145" s="244">
        <v>0</v>
      </c>
    </row>
    <row r="146" spans="1:11" s="240" customFormat="1" x14ac:dyDescent="0.25">
      <c r="A146" s="387"/>
      <c r="B146" s="388"/>
      <c r="C146" s="390"/>
      <c r="D146" s="277" t="s">
        <v>14</v>
      </c>
      <c r="E146" s="244">
        <f t="shared" si="46"/>
        <v>2690.5</v>
      </c>
      <c r="F146" s="272">
        <v>296.2</v>
      </c>
      <c r="G146" s="272">
        <v>318.3</v>
      </c>
      <c r="H146" s="272">
        <v>346</v>
      </c>
      <c r="I146" s="272">
        <v>346</v>
      </c>
      <c r="J146" s="272">
        <f>I146*4</f>
        <v>1384</v>
      </c>
    </row>
    <row r="147" spans="1:11" s="240" customFormat="1" x14ac:dyDescent="0.25">
      <c r="A147" s="387"/>
      <c r="B147" s="388"/>
      <c r="C147" s="390"/>
      <c r="D147" s="277" t="s">
        <v>15</v>
      </c>
      <c r="E147" s="244">
        <f t="shared" ref="E147" si="52">SUM(F147:J147)</f>
        <v>50616</v>
      </c>
      <c r="F147" s="272">
        <v>6327</v>
      </c>
      <c r="G147" s="272">
        <v>6327</v>
      </c>
      <c r="H147" s="272">
        <v>6327</v>
      </c>
      <c r="I147" s="272">
        <v>6327</v>
      </c>
      <c r="J147" s="272">
        <f>I147*4</f>
        <v>25308</v>
      </c>
    </row>
    <row r="148" spans="1:11" s="240" customFormat="1" ht="30" x14ac:dyDescent="0.25">
      <c r="A148" s="387"/>
      <c r="B148" s="388"/>
      <c r="C148" s="390"/>
      <c r="D148" s="277" t="s">
        <v>94</v>
      </c>
      <c r="E148" s="244">
        <f t="shared" si="46"/>
        <v>0</v>
      </c>
      <c r="F148" s="244">
        <v>0</v>
      </c>
      <c r="G148" s="244">
        <v>0</v>
      </c>
      <c r="H148" s="244">
        <v>0</v>
      </c>
      <c r="I148" s="244">
        <v>0</v>
      </c>
      <c r="J148" s="244">
        <v>0</v>
      </c>
    </row>
    <row r="149" spans="1:11" s="240" customFormat="1" x14ac:dyDescent="0.25">
      <c r="A149" s="387"/>
      <c r="B149" s="388"/>
      <c r="C149" s="390"/>
      <c r="D149" s="277" t="s">
        <v>93</v>
      </c>
      <c r="E149" s="244">
        <f t="shared" si="46"/>
        <v>0</v>
      </c>
      <c r="F149" s="244">
        <v>0</v>
      </c>
      <c r="G149" s="244">
        <v>0</v>
      </c>
      <c r="H149" s="244">
        <v>0</v>
      </c>
      <c r="I149" s="244">
        <v>0</v>
      </c>
      <c r="J149" s="244">
        <v>0</v>
      </c>
    </row>
    <row r="150" spans="1:11" s="240" customFormat="1" x14ac:dyDescent="0.25">
      <c r="A150" s="387"/>
      <c r="B150" s="388"/>
      <c r="C150" s="390"/>
      <c r="D150" s="277" t="s">
        <v>18</v>
      </c>
      <c r="E150" s="244">
        <f t="shared" si="46"/>
        <v>49618.36</v>
      </c>
      <c r="F150" s="272">
        <v>6202.2950000000001</v>
      </c>
      <c r="G150" s="272">
        <v>6202.2950000000001</v>
      </c>
      <c r="H150" s="272">
        <v>6202.2950000000001</v>
      </c>
      <c r="I150" s="272">
        <v>6202.2950000000001</v>
      </c>
      <c r="J150" s="272">
        <f>I150*4</f>
        <v>24809.18</v>
      </c>
    </row>
    <row r="151" spans="1:11" x14ac:dyDescent="0.25">
      <c r="A151" s="391" t="s">
        <v>131</v>
      </c>
      <c r="B151" s="391"/>
      <c r="C151" s="391"/>
      <c r="D151" s="241" t="s">
        <v>12</v>
      </c>
      <c r="E151" s="236">
        <f t="shared" si="46"/>
        <v>1040785.22266</v>
      </c>
      <c r="F151" s="236">
        <f t="shared" ref="F151" si="53">SUM(F152:F157)</f>
        <v>133695.32526000001</v>
      </c>
      <c r="G151" s="236">
        <f>SUM(G152:G157)</f>
        <v>129560.5282</v>
      </c>
      <c r="H151" s="236">
        <f t="shared" ref="H151:J151" si="54">SUM(H152:H157)</f>
        <v>129588.2282</v>
      </c>
      <c r="I151" s="236">
        <f t="shared" si="54"/>
        <v>129588.2282</v>
      </c>
      <c r="J151" s="236">
        <f t="shared" si="54"/>
        <v>518352.91279999999</v>
      </c>
    </row>
    <row r="152" spans="1:11" x14ac:dyDescent="0.25">
      <c r="A152" s="391"/>
      <c r="B152" s="391"/>
      <c r="C152" s="391"/>
      <c r="D152" s="277" t="s">
        <v>13</v>
      </c>
      <c r="E152" s="237">
        <f t="shared" si="46"/>
        <v>0</v>
      </c>
      <c r="F152" s="237">
        <f t="shared" ref="F152:J157" si="55">F138+F145</f>
        <v>0</v>
      </c>
      <c r="G152" s="237">
        <f t="shared" si="55"/>
        <v>0</v>
      </c>
      <c r="H152" s="237">
        <f t="shared" si="55"/>
        <v>0</v>
      </c>
      <c r="I152" s="237">
        <f t="shared" si="55"/>
        <v>0</v>
      </c>
      <c r="J152" s="237">
        <f t="shared" si="55"/>
        <v>0</v>
      </c>
    </row>
    <row r="153" spans="1:11" x14ac:dyDescent="0.25">
      <c r="A153" s="391"/>
      <c r="B153" s="391"/>
      <c r="C153" s="391"/>
      <c r="D153" s="277" t="s">
        <v>14</v>
      </c>
      <c r="E153" s="237">
        <f t="shared" si="46"/>
        <v>2690.5</v>
      </c>
      <c r="F153" s="237">
        <f t="shared" si="55"/>
        <v>296.2</v>
      </c>
      <c r="G153" s="237">
        <f t="shared" si="55"/>
        <v>318.3</v>
      </c>
      <c r="H153" s="237">
        <f t="shared" si="55"/>
        <v>346</v>
      </c>
      <c r="I153" s="237">
        <f t="shared" si="55"/>
        <v>346</v>
      </c>
      <c r="J153" s="237">
        <f t="shared" si="55"/>
        <v>1384</v>
      </c>
    </row>
    <row r="154" spans="1:11" x14ac:dyDescent="0.25">
      <c r="A154" s="391"/>
      <c r="B154" s="391"/>
      <c r="C154" s="391"/>
      <c r="D154" s="277" t="s">
        <v>15</v>
      </c>
      <c r="E154" s="237">
        <f t="shared" si="46"/>
        <v>672524.74257</v>
      </c>
      <c r="F154" s="237">
        <f t="shared" si="55"/>
        <v>85545.742830000003</v>
      </c>
      <c r="G154" s="237">
        <f t="shared" si="55"/>
        <v>86676.542820000002</v>
      </c>
      <c r="H154" s="237">
        <f t="shared" si="55"/>
        <v>83383.742819999999</v>
      </c>
      <c r="I154" s="237">
        <f t="shared" si="55"/>
        <v>83383.742819999999</v>
      </c>
      <c r="J154" s="237">
        <f t="shared" si="55"/>
        <v>333534.97128</v>
      </c>
    </row>
    <row r="155" spans="1:11" ht="30" x14ac:dyDescent="0.25">
      <c r="A155" s="391"/>
      <c r="B155" s="391"/>
      <c r="C155" s="391"/>
      <c r="D155" s="277" t="s">
        <v>94</v>
      </c>
      <c r="E155" s="237">
        <f t="shared" si="46"/>
        <v>0</v>
      </c>
      <c r="F155" s="237">
        <f t="shared" si="55"/>
        <v>0</v>
      </c>
      <c r="G155" s="237">
        <f t="shared" si="55"/>
        <v>0</v>
      </c>
      <c r="H155" s="237">
        <f t="shared" si="55"/>
        <v>0</v>
      </c>
      <c r="I155" s="237">
        <f t="shared" si="55"/>
        <v>0</v>
      </c>
      <c r="J155" s="237">
        <f t="shared" si="55"/>
        <v>0</v>
      </c>
    </row>
    <row r="156" spans="1:11" x14ac:dyDescent="0.25">
      <c r="A156" s="391"/>
      <c r="B156" s="391"/>
      <c r="C156" s="391"/>
      <c r="D156" s="277" t="s">
        <v>93</v>
      </c>
      <c r="E156" s="237">
        <f t="shared" si="46"/>
        <v>0</v>
      </c>
      <c r="F156" s="237">
        <f t="shared" si="55"/>
        <v>0</v>
      </c>
      <c r="G156" s="237">
        <f t="shared" si="55"/>
        <v>0</v>
      </c>
      <c r="H156" s="237">
        <f t="shared" si="55"/>
        <v>0</v>
      </c>
      <c r="I156" s="237">
        <f t="shared" si="55"/>
        <v>0</v>
      </c>
      <c r="J156" s="237">
        <f t="shared" si="55"/>
        <v>0</v>
      </c>
    </row>
    <row r="157" spans="1:11" x14ac:dyDescent="0.25">
      <c r="A157" s="391"/>
      <c r="B157" s="391"/>
      <c r="C157" s="391"/>
      <c r="D157" s="277" t="s">
        <v>18</v>
      </c>
      <c r="E157" s="237">
        <f t="shared" si="46"/>
        <v>365569.98008999997</v>
      </c>
      <c r="F157" s="237">
        <f t="shared" si="55"/>
        <v>47853.382429999998</v>
      </c>
      <c r="G157" s="237">
        <f t="shared" si="55"/>
        <v>42565.685379999995</v>
      </c>
      <c r="H157" s="237">
        <f t="shared" si="55"/>
        <v>45858.485379999998</v>
      </c>
      <c r="I157" s="237">
        <f t="shared" si="55"/>
        <v>45858.485379999998</v>
      </c>
      <c r="J157" s="237">
        <f t="shared" si="55"/>
        <v>183433.94151999999</v>
      </c>
    </row>
    <row r="158" spans="1:11" x14ac:dyDescent="0.25">
      <c r="A158" s="386" t="s">
        <v>96</v>
      </c>
      <c r="B158" s="386"/>
      <c r="C158" s="386"/>
      <c r="D158" s="241" t="s">
        <v>12</v>
      </c>
      <c r="E158" s="236">
        <f>SUM(F158:J158)</f>
        <v>5607166.1770299999</v>
      </c>
      <c r="F158" s="236">
        <f>SUM(F159:F164)</f>
        <v>1244269.7706600002</v>
      </c>
      <c r="G158" s="236">
        <f>SUM(G159:G164)</f>
        <v>614157.36856999993</v>
      </c>
      <c r="H158" s="236">
        <f t="shared" ref="H158:J158" si="56">SUM(H159:H164)</f>
        <v>781725.38789999997</v>
      </c>
      <c r="I158" s="236">
        <f>SUM(I159:I164)</f>
        <v>593402.72997999995</v>
      </c>
      <c r="J158" s="236">
        <f t="shared" si="56"/>
        <v>2373610.9199199998</v>
      </c>
    </row>
    <row r="159" spans="1:11" x14ac:dyDescent="0.25">
      <c r="A159" s="386"/>
      <c r="B159" s="386"/>
      <c r="C159" s="386"/>
      <c r="D159" s="277" t="s">
        <v>13</v>
      </c>
      <c r="E159" s="237">
        <f t="shared" si="46"/>
        <v>2432.3999999999996</v>
      </c>
      <c r="F159" s="237">
        <f t="shared" ref="F159:J164" si="57">F38+F130+F152</f>
        <v>2286.1999999999998</v>
      </c>
      <c r="G159" s="237">
        <f t="shared" si="57"/>
        <v>74.7</v>
      </c>
      <c r="H159" s="237">
        <f t="shared" si="57"/>
        <v>71.5</v>
      </c>
      <c r="I159" s="237">
        <f t="shared" si="57"/>
        <v>0</v>
      </c>
      <c r="J159" s="237">
        <f t="shared" si="57"/>
        <v>0</v>
      </c>
      <c r="K159" s="246"/>
    </row>
    <row r="160" spans="1:11" x14ac:dyDescent="0.25">
      <c r="A160" s="386"/>
      <c r="B160" s="386"/>
      <c r="C160" s="386"/>
      <c r="D160" s="277" t="s">
        <v>14</v>
      </c>
      <c r="E160" s="237">
        <f t="shared" si="46"/>
        <v>9311.7999999999993</v>
      </c>
      <c r="F160" s="237">
        <f t="shared" si="57"/>
        <v>4405</v>
      </c>
      <c r="G160" s="237">
        <f t="shared" si="57"/>
        <v>1702.8999999999999</v>
      </c>
      <c r="H160" s="237">
        <f t="shared" si="57"/>
        <v>1473.8999999999999</v>
      </c>
      <c r="I160" s="237">
        <f t="shared" si="57"/>
        <v>346</v>
      </c>
      <c r="J160" s="237">
        <f t="shared" si="57"/>
        <v>1384</v>
      </c>
      <c r="K160" s="246"/>
    </row>
    <row r="161" spans="1:11" x14ac:dyDescent="0.25">
      <c r="A161" s="386"/>
      <c r="B161" s="386"/>
      <c r="C161" s="386"/>
      <c r="D161" s="277" t="s">
        <v>15</v>
      </c>
      <c r="E161" s="237">
        <f>SUM(F161:J161)</f>
        <v>2325287.5110599999</v>
      </c>
      <c r="F161" s="237">
        <f t="shared" si="57"/>
        <v>408747.49885000003</v>
      </c>
      <c r="G161" s="237">
        <f t="shared" si="57"/>
        <v>327141.05923000001</v>
      </c>
      <c r="H161" s="237">
        <f t="shared" si="57"/>
        <v>298107.40922999999</v>
      </c>
      <c r="I161" s="237">
        <f t="shared" si="57"/>
        <v>258258.30874999997</v>
      </c>
      <c r="J161" s="237">
        <f t="shared" si="57"/>
        <v>1033033.2349999999</v>
      </c>
      <c r="K161" s="246"/>
    </row>
    <row r="162" spans="1:11" ht="30" x14ac:dyDescent="0.25">
      <c r="A162" s="386"/>
      <c r="B162" s="386"/>
      <c r="C162" s="386"/>
      <c r="D162" s="277" t="s">
        <v>94</v>
      </c>
      <c r="E162" s="237">
        <f t="shared" si="46"/>
        <v>0</v>
      </c>
      <c r="F162" s="237">
        <f t="shared" si="57"/>
        <v>0</v>
      </c>
      <c r="G162" s="237">
        <f t="shared" si="57"/>
        <v>0</v>
      </c>
      <c r="H162" s="237">
        <f t="shared" si="57"/>
        <v>0</v>
      </c>
      <c r="I162" s="237">
        <f t="shared" si="57"/>
        <v>0</v>
      </c>
      <c r="J162" s="237">
        <f t="shared" si="57"/>
        <v>0</v>
      </c>
      <c r="K162" s="246"/>
    </row>
    <row r="163" spans="1:11" x14ac:dyDescent="0.25">
      <c r="A163" s="386"/>
      <c r="B163" s="386"/>
      <c r="C163" s="386"/>
      <c r="D163" s="277" t="s">
        <v>93</v>
      </c>
      <c r="E163" s="237">
        <f t="shared" si="46"/>
        <v>0</v>
      </c>
      <c r="F163" s="237">
        <f t="shared" si="57"/>
        <v>0</v>
      </c>
      <c r="G163" s="237">
        <f t="shared" si="57"/>
        <v>0</v>
      </c>
      <c r="H163" s="237">
        <f t="shared" si="57"/>
        <v>0</v>
      </c>
      <c r="I163" s="237">
        <f t="shared" si="57"/>
        <v>0</v>
      </c>
      <c r="J163" s="237">
        <f t="shared" si="57"/>
        <v>0</v>
      </c>
      <c r="K163" s="246"/>
    </row>
    <row r="164" spans="1:11" x14ac:dyDescent="0.25">
      <c r="A164" s="386"/>
      <c r="B164" s="386"/>
      <c r="C164" s="386"/>
      <c r="D164" s="277" t="s">
        <v>18</v>
      </c>
      <c r="E164" s="237">
        <f>SUM(F164:J164)</f>
        <v>3270134.4659700003</v>
      </c>
      <c r="F164" s="237">
        <f>F43+F135+F157</f>
        <v>828831.07181000011</v>
      </c>
      <c r="G164" s="237">
        <f t="shared" si="57"/>
        <v>285238.70934</v>
      </c>
      <c r="H164" s="237">
        <f t="shared" si="57"/>
        <v>482072.57866999996</v>
      </c>
      <c r="I164" s="237">
        <f t="shared" si="57"/>
        <v>334798.42122999998</v>
      </c>
      <c r="J164" s="237">
        <f t="shared" si="57"/>
        <v>1339193.6849199999</v>
      </c>
      <c r="K164" s="246"/>
    </row>
    <row r="165" spans="1:11" s="240" customFormat="1" x14ac:dyDescent="0.25">
      <c r="A165" s="387" t="s">
        <v>97</v>
      </c>
      <c r="B165" s="387"/>
      <c r="C165" s="387"/>
      <c r="D165" s="277" t="s">
        <v>54</v>
      </c>
      <c r="E165" s="285" t="s">
        <v>54</v>
      </c>
      <c r="F165" s="285"/>
      <c r="G165" s="285" t="s">
        <v>54</v>
      </c>
      <c r="H165" s="285" t="s">
        <v>54</v>
      </c>
      <c r="I165" s="285"/>
      <c r="J165" s="285" t="s">
        <v>54</v>
      </c>
    </row>
    <row r="166" spans="1:11" s="239" customFormat="1" x14ac:dyDescent="0.25">
      <c r="A166" s="388" t="s">
        <v>98</v>
      </c>
      <c r="B166" s="388"/>
      <c r="C166" s="388"/>
      <c r="D166" s="241" t="s">
        <v>12</v>
      </c>
      <c r="E166" s="265">
        <f t="shared" ref="E166:E179" si="58">SUM(F166:J166)</f>
        <v>6178.8421099999996</v>
      </c>
      <c r="F166" s="265">
        <f t="shared" ref="F166:J166" si="59">SUM(F167:F172)</f>
        <v>6038.8421099999996</v>
      </c>
      <c r="G166" s="265">
        <f t="shared" si="59"/>
        <v>70</v>
      </c>
      <c r="H166" s="265">
        <f t="shared" si="59"/>
        <v>70</v>
      </c>
      <c r="I166" s="265">
        <f t="shared" si="59"/>
        <v>0</v>
      </c>
      <c r="J166" s="265">
        <f t="shared" si="59"/>
        <v>0</v>
      </c>
    </row>
    <row r="167" spans="1:11" s="240" customFormat="1" x14ac:dyDescent="0.25">
      <c r="A167" s="388"/>
      <c r="B167" s="388"/>
      <c r="C167" s="388"/>
      <c r="D167" s="277" t="s">
        <v>13</v>
      </c>
      <c r="E167" s="286">
        <f t="shared" si="58"/>
        <v>2211.5</v>
      </c>
      <c r="F167" s="286">
        <f t="shared" ref="F167:J172" si="60">F10+F46+F53</f>
        <v>2211.5</v>
      </c>
      <c r="G167" s="286">
        <f t="shared" si="60"/>
        <v>0</v>
      </c>
      <c r="H167" s="286">
        <f t="shared" si="60"/>
        <v>0</v>
      </c>
      <c r="I167" s="286">
        <f t="shared" si="60"/>
        <v>0</v>
      </c>
      <c r="J167" s="286">
        <f t="shared" si="60"/>
        <v>0</v>
      </c>
    </row>
    <row r="168" spans="1:11" s="240" customFormat="1" x14ac:dyDescent="0.25">
      <c r="A168" s="388"/>
      <c r="B168" s="388"/>
      <c r="C168" s="388"/>
      <c r="D168" s="277" t="s">
        <v>14</v>
      </c>
      <c r="E168" s="286">
        <f t="shared" si="58"/>
        <v>3458.9</v>
      </c>
      <c r="F168" s="286">
        <f t="shared" si="60"/>
        <v>3458.9</v>
      </c>
      <c r="G168" s="286">
        <f t="shared" si="60"/>
        <v>0</v>
      </c>
      <c r="H168" s="286">
        <f t="shared" si="60"/>
        <v>0</v>
      </c>
      <c r="I168" s="286">
        <f t="shared" si="60"/>
        <v>0</v>
      </c>
      <c r="J168" s="286">
        <f t="shared" si="60"/>
        <v>0</v>
      </c>
    </row>
    <row r="169" spans="1:11" s="240" customFormat="1" x14ac:dyDescent="0.25">
      <c r="A169" s="388"/>
      <c r="B169" s="388"/>
      <c r="C169" s="388"/>
      <c r="D169" s="277" t="s">
        <v>15</v>
      </c>
      <c r="E169" s="287">
        <f t="shared" si="58"/>
        <v>508.44210999999996</v>
      </c>
      <c r="F169" s="286">
        <f t="shared" si="60"/>
        <v>368.44210999999996</v>
      </c>
      <c r="G169" s="286">
        <f t="shared" si="60"/>
        <v>70</v>
      </c>
      <c r="H169" s="286">
        <f t="shared" si="60"/>
        <v>70</v>
      </c>
      <c r="I169" s="286">
        <f t="shared" si="60"/>
        <v>0</v>
      </c>
      <c r="J169" s="286">
        <f t="shared" si="60"/>
        <v>0</v>
      </c>
    </row>
    <row r="170" spans="1:11" s="240" customFormat="1" ht="30" x14ac:dyDescent="0.25">
      <c r="A170" s="388"/>
      <c r="B170" s="388"/>
      <c r="C170" s="388"/>
      <c r="D170" s="277" t="s">
        <v>94</v>
      </c>
      <c r="E170" s="287">
        <f t="shared" si="58"/>
        <v>0</v>
      </c>
      <c r="F170" s="286">
        <f t="shared" si="60"/>
        <v>0</v>
      </c>
      <c r="G170" s="286">
        <f t="shared" si="60"/>
        <v>0</v>
      </c>
      <c r="H170" s="286">
        <f t="shared" si="60"/>
        <v>0</v>
      </c>
      <c r="I170" s="286">
        <f t="shared" si="60"/>
        <v>0</v>
      </c>
      <c r="J170" s="286">
        <f t="shared" si="60"/>
        <v>0</v>
      </c>
    </row>
    <row r="171" spans="1:11" s="240" customFormat="1" x14ac:dyDescent="0.25">
      <c r="A171" s="388"/>
      <c r="B171" s="388"/>
      <c r="C171" s="388"/>
      <c r="D171" s="277" t="s">
        <v>93</v>
      </c>
      <c r="E171" s="287">
        <f t="shared" si="58"/>
        <v>0</v>
      </c>
      <c r="F171" s="286">
        <f t="shared" si="60"/>
        <v>0</v>
      </c>
      <c r="G171" s="286">
        <f t="shared" si="60"/>
        <v>0</v>
      </c>
      <c r="H171" s="286">
        <f t="shared" si="60"/>
        <v>0</v>
      </c>
      <c r="I171" s="286">
        <f t="shared" si="60"/>
        <v>0</v>
      </c>
      <c r="J171" s="286">
        <f t="shared" si="60"/>
        <v>0</v>
      </c>
    </row>
    <row r="172" spans="1:11" s="240" customFormat="1" x14ac:dyDescent="0.25">
      <c r="A172" s="388"/>
      <c r="B172" s="388"/>
      <c r="C172" s="388"/>
      <c r="D172" s="277" t="s">
        <v>18</v>
      </c>
      <c r="E172" s="287">
        <f t="shared" si="58"/>
        <v>0</v>
      </c>
      <c r="F172" s="286">
        <f t="shared" si="60"/>
        <v>0</v>
      </c>
      <c r="G172" s="286">
        <f t="shared" si="60"/>
        <v>0</v>
      </c>
      <c r="H172" s="286">
        <f t="shared" si="60"/>
        <v>0</v>
      </c>
      <c r="I172" s="286">
        <f t="shared" si="60"/>
        <v>0</v>
      </c>
      <c r="J172" s="286">
        <f t="shared" si="60"/>
        <v>0</v>
      </c>
    </row>
    <row r="173" spans="1:11" s="239" customFormat="1" x14ac:dyDescent="0.25">
      <c r="A173" s="388" t="s">
        <v>99</v>
      </c>
      <c r="B173" s="388"/>
      <c r="C173" s="388"/>
      <c r="D173" s="241" t="s">
        <v>12</v>
      </c>
      <c r="E173" s="265">
        <f t="shared" si="58"/>
        <v>5600987.3349199994</v>
      </c>
      <c r="F173" s="265">
        <f t="shared" ref="F173:J173" si="61">SUM(F174:F179)</f>
        <v>1238230.9285500001</v>
      </c>
      <c r="G173" s="265">
        <f t="shared" si="61"/>
        <v>614087.36856999993</v>
      </c>
      <c r="H173" s="265">
        <f t="shared" si="61"/>
        <v>781655.38789999997</v>
      </c>
      <c r="I173" s="265">
        <f t="shared" si="61"/>
        <v>593402.72997999995</v>
      </c>
      <c r="J173" s="265">
        <f t="shared" si="61"/>
        <v>2373610.9199199998</v>
      </c>
    </row>
    <row r="174" spans="1:11" s="240" customFormat="1" x14ac:dyDescent="0.25">
      <c r="A174" s="388"/>
      <c r="B174" s="388"/>
      <c r="C174" s="388"/>
      <c r="D174" s="277" t="s">
        <v>13</v>
      </c>
      <c r="E174" s="286">
        <f>SUM(F174:J174)</f>
        <v>220.89999999999981</v>
      </c>
      <c r="F174" s="286">
        <f>F159-F167</f>
        <v>74.699999999999818</v>
      </c>
      <c r="G174" s="286">
        <f t="shared" ref="G174:J174" si="62">G159-G167</f>
        <v>74.7</v>
      </c>
      <c r="H174" s="286">
        <f t="shared" si="62"/>
        <v>71.5</v>
      </c>
      <c r="I174" s="286">
        <f t="shared" si="62"/>
        <v>0</v>
      </c>
      <c r="J174" s="286">
        <f t="shared" si="62"/>
        <v>0</v>
      </c>
    </row>
    <row r="175" spans="1:11" s="240" customFormat="1" x14ac:dyDescent="0.25">
      <c r="A175" s="388"/>
      <c r="B175" s="388"/>
      <c r="C175" s="388"/>
      <c r="D175" s="277" t="s">
        <v>14</v>
      </c>
      <c r="E175" s="286">
        <f t="shared" si="58"/>
        <v>5852.9</v>
      </c>
      <c r="F175" s="286">
        <f t="shared" ref="F175:J179" si="63">F160-F168</f>
        <v>946.09999999999991</v>
      </c>
      <c r="G175" s="286">
        <f t="shared" si="63"/>
        <v>1702.8999999999999</v>
      </c>
      <c r="H175" s="286">
        <f t="shared" si="63"/>
        <v>1473.8999999999999</v>
      </c>
      <c r="I175" s="286">
        <f t="shared" si="63"/>
        <v>346</v>
      </c>
      <c r="J175" s="286">
        <f t="shared" si="63"/>
        <v>1384</v>
      </c>
    </row>
    <row r="176" spans="1:11" s="240" customFormat="1" x14ac:dyDescent="0.25">
      <c r="A176" s="388"/>
      <c r="B176" s="388"/>
      <c r="C176" s="388"/>
      <c r="D176" s="277" t="s">
        <v>15</v>
      </c>
      <c r="E176" s="286">
        <f t="shared" si="58"/>
        <v>2324779.0689499998</v>
      </c>
      <c r="F176" s="286">
        <f t="shared" si="63"/>
        <v>408379.05674000003</v>
      </c>
      <c r="G176" s="286">
        <f t="shared" si="63"/>
        <v>327071.05923000001</v>
      </c>
      <c r="H176" s="286">
        <f t="shared" si="63"/>
        <v>298037.40922999999</v>
      </c>
      <c r="I176" s="286">
        <f t="shared" si="63"/>
        <v>258258.30874999997</v>
      </c>
      <c r="J176" s="286">
        <f t="shared" si="63"/>
        <v>1033033.2349999999</v>
      </c>
    </row>
    <row r="177" spans="1:10" s="240" customFormat="1" ht="30" x14ac:dyDescent="0.25">
      <c r="A177" s="388"/>
      <c r="B177" s="388"/>
      <c r="C177" s="388"/>
      <c r="D177" s="277" t="s">
        <v>94</v>
      </c>
      <c r="E177" s="286">
        <f t="shared" si="58"/>
        <v>0</v>
      </c>
      <c r="F177" s="286">
        <f t="shared" si="63"/>
        <v>0</v>
      </c>
      <c r="G177" s="286">
        <f t="shared" si="63"/>
        <v>0</v>
      </c>
      <c r="H177" s="286">
        <f t="shared" si="63"/>
        <v>0</v>
      </c>
      <c r="I177" s="286">
        <f t="shared" si="63"/>
        <v>0</v>
      </c>
      <c r="J177" s="286">
        <f t="shared" si="63"/>
        <v>0</v>
      </c>
    </row>
    <row r="178" spans="1:10" s="240" customFormat="1" x14ac:dyDescent="0.25">
      <c r="A178" s="388"/>
      <c r="B178" s="388"/>
      <c r="C178" s="388"/>
      <c r="D178" s="277" t="s">
        <v>93</v>
      </c>
      <c r="E178" s="286">
        <f t="shared" si="58"/>
        <v>0</v>
      </c>
      <c r="F178" s="286">
        <f t="shared" si="63"/>
        <v>0</v>
      </c>
      <c r="G178" s="286">
        <f t="shared" si="63"/>
        <v>0</v>
      </c>
      <c r="H178" s="286">
        <f t="shared" si="63"/>
        <v>0</v>
      </c>
      <c r="I178" s="286">
        <f t="shared" si="63"/>
        <v>0</v>
      </c>
      <c r="J178" s="286">
        <f t="shared" si="63"/>
        <v>0</v>
      </c>
    </row>
    <row r="179" spans="1:10" s="240" customFormat="1" x14ac:dyDescent="0.25">
      <c r="A179" s="388"/>
      <c r="B179" s="388"/>
      <c r="C179" s="388"/>
      <c r="D179" s="277" t="s">
        <v>18</v>
      </c>
      <c r="E179" s="286">
        <f t="shared" si="58"/>
        <v>3270134.4659700003</v>
      </c>
      <c r="F179" s="286">
        <f t="shared" si="63"/>
        <v>828831.07181000011</v>
      </c>
      <c r="G179" s="286">
        <f t="shared" si="63"/>
        <v>285238.70934</v>
      </c>
      <c r="H179" s="286">
        <f t="shared" si="63"/>
        <v>482072.57866999996</v>
      </c>
      <c r="I179" s="286">
        <f t="shared" si="63"/>
        <v>334798.42122999998</v>
      </c>
      <c r="J179" s="286">
        <f t="shared" si="63"/>
        <v>1339193.6849199999</v>
      </c>
    </row>
    <row r="180" spans="1:10" s="240" customFormat="1" x14ac:dyDescent="0.25">
      <c r="A180" s="388" t="s">
        <v>97</v>
      </c>
      <c r="B180" s="388"/>
      <c r="C180" s="388"/>
      <c r="D180" s="277" t="s">
        <v>54</v>
      </c>
      <c r="E180" s="288" t="s">
        <v>54</v>
      </c>
      <c r="F180" s="286"/>
      <c r="G180" s="286" t="s">
        <v>54</v>
      </c>
      <c r="H180" s="286" t="s">
        <v>54</v>
      </c>
      <c r="I180" s="286"/>
      <c r="J180" s="286" t="s">
        <v>54</v>
      </c>
    </row>
    <row r="181" spans="1:10" s="239" customFormat="1" x14ac:dyDescent="0.25">
      <c r="A181" s="388" t="s">
        <v>100</v>
      </c>
      <c r="B181" s="388"/>
      <c r="C181" s="388"/>
      <c r="D181" s="241" t="s">
        <v>12</v>
      </c>
      <c r="E181" s="265">
        <f t="shared" ref="E181:E194" si="64">SUM(F181:J181)</f>
        <v>820611.21117999998</v>
      </c>
      <c r="F181" s="265">
        <f>SUM(F182:F187)</f>
        <v>618556.89977000002</v>
      </c>
      <c r="G181" s="265">
        <f t="shared" ref="G181:J181" si="65">SUM(G182:G187)</f>
        <v>17256.996040000002</v>
      </c>
      <c r="H181" s="265">
        <f t="shared" si="65"/>
        <v>184797.31537</v>
      </c>
      <c r="I181" s="265">
        <f t="shared" si="65"/>
        <v>0</v>
      </c>
      <c r="J181" s="265">
        <f t="shared" si="65"/>
        <v>0</v>
      </c>
    </row>
    <row r="182" spans="1:10" s="240" customFormat="1" x14ac:dyDescent="0.25">
      <c r="A182" s="388"/>
      <c r="B182" s="388"/>
      <c r="C182" s="388"/>
      <c r="D182" s="277" t="s">
        <v>13</v>
      </c>
      <c r="E182" s="286">
        <f t="shared" si="64"/>
        <v>0</v>
      </c>
      <c r="F182" s="286">
        <f>F31</f>
        <v>0</v>
      </c>
      <c r="G182" s="286">
        <f t="shared" ref="G182:J182" si="66">G31</f>
        <v>0</v>
      </c>
      <c r="H182" s="286">
        <f t="shared" si="66"/>
        <v>0</v>
      </c>
      <c r="I182" s="286">
        <f t="shared" si="66"/>
        <v>0</v>
      </c>
      <c r="J182" s="286">
        <f t="shared" si="66"/>
        <v>0</v>
      </c>
    </row>
    <row r="183" spans="1:10" s="240" customFormat="1" x14ac:dyDescent="0.25">
      <c r="A183" s="388"/>
      <c r="B183" s="388"/>
      <c r="C183" s="388"/>
      <c r="D183" s="277" t="s">
        <v>14</v>
      </c>
      <c r="E183" s="286">
        <f t="shared" si="64"/>
        <v>0</v>
      </c>
      <c r="F183" s="286">
        <f t="shared" ref="F183:J187" si="67">F32</f>
        <v>0</v>
      </c>
      <c r="G183" s="286">
        <f t="shared" si="67"/>
        <v>0</v>
      </c>
      <c r="H183" s="286">
        <f t="shared" si="67"/>
        <v>0</v>
      </c>
      <c r="I183" s="286">
        <f t="shared" si="67"/>
        <v>0</v>
      </c>
      <c r="J183" s="286">
        <f t="shared" si="67"/>
        <v>0</v>
      </c>
    </row>
    <row r="184" spans="1:10" s="240" customFormat="1" x14ac:dyDescent="0.25">
      <c r="A184" s="388"/>
      <c r="B184" s="388"/>
      <c r="C184" s="388"/>
      <c r="D184" s="277" t="s">
        <v>15</v>
      </c>
      <c r="E184" s="287">
        <f t="shared" si="64"/>
        <v>0</v>
      </c>
      <c r="F184" s="286">
        <f t="shared" si="67"/>
        <v>0</v>
      </c>
      <c r="G184" s="286">
        <f t="shared" si="67"/>
        <v>0</v>
      </c>
      <c r="H184" s="286">
        <f t="shared" si="67"/>
        <v>0</v>
      </c>
      <c r="I184" s="286">
        <f t="shared" si="67"/>
        <v>0</v>
      </c>
      <c r="J184" s="286">
        <f t="shared" si="67"/>
        <v>0</v>
      </c>
    </row>
    <row r="185" spans="1:10" s="240" customFormat="1" ht="30" x14ac:dyDescent="0.25">
      <c r="A185" s="388"/>
      <c r="B185" s="388"/>
      <c r="C185" s="388"/>
      <c r="D185" s="277" t="s">
        <v>94</v>
      </c>
      <c r="E185" s="287">
        <f t="shared" si="64"/>
        <v>0</v>
      </c>
      <c r="F185" s="286">
        <f t="shared" si="67"/>
        <v>0</v>
      </c>
      <c r="G185" s="286">
        <f t="shared" si="67"/>
        <v>0</v>
      </c>
      <c r="H185" s="286">
        <f t="shared" si="67"/>
        <v>0</v>
      </c>
      <c r="I185" s="286">
        <f t="shared" si="67"/>
        <v>0</v>
      </c>
      <c r="J185" s="286">
        <f t="shared" si="67"/>
        <v>0</v>
      </c>
    </row>
    <row r="186" spans="1:10" s="240" customFormat="1" x14ac:dyDescent="0.25">
      <c r="A186" s="388"/>
      <c r="B186" s="388"/>
      <c r="C186" s="388"/>
      <c r="D186" s="277" t="s">
        <v>93</v>
      </c>
      <c r="E186" s="287">
        <f t="shared" si="64"/>
        <v>0</v>
      </c>
      <c r="F186" s="286">
        <f t="shared" si="67"/>
        <v>0</v>
      </c>
      <c r="G186" s="286">
        <f t="shared" si="67"/>
        <v>0</v>
      </c>
      <c r="H186" s="286">
        <f t="shared" si="67"/>
        <v>0</v>
      </c>
      <c r="I186" s="286">
        <f t="shared" si="67"/>
        <v>0</v>
      </c>
      <c r="J186" s="286">
        <f t="shared" si="67"/>
        <v>0</v>
      </c>
    </row>
    <row r="187" spans="1:10" s="240" customFormat="1" x14ac:dyDescent="0.25">
      <c r="A187" s="388"/>
      <c r="B187" s="388"/>
      <c r="C187" s="388"/>
      <c r="D187" s="277" t="s">
        <v>18</v>
      </c>
      <c r="E187" s="287">
        <f t="shared" si="64"/>
        <v>820611.21117999998</v>
      </c>
      <c r="F187" s="286">
        <f t="shared" si="67"/>
        <v>618556.89977000002</v>
      </c>
      <c r="G187" s="286">
        <f t="shared" si="67"/>
        <v>17256.996040000002</v>
      </c>
      <c r="H187" s="286">
        <f t="shared" si="67"/>
        <v>184797.31537</v>
      </c>
      <c r="I187" s="286">
        <f t="shared" si="67"/>
        <v>0</v>
      </c>
      <c r="J187" s="286">
        <f t="shared" si="67"/>
        <v>0</v>
      </c>
    </row>
    <row r="188" spans="1:10" s="239" customFormat="1" x14ac:dyDescent="0.25">
      <c r="A188" s="388" t="s">
        <v>101</v>
      </c>
      <c r="B188" s="388"/>
      <c r="C188" s="388"/>
      <c r="D188" s="241" t="s">
        <v>12</v>
      </c>
      <c r="E188" s="265">
        <f>SUM(F188:J188)</f>
        <v>4786554.9658499993</v>
      </c>
      <c r="F188" s="265">
        <f t="shared" ref="F188:J188" si="68">SUM(F189:F194)</f>
        <v>625712.87089000014</v>
      </c>
      <c r="G188" s="265">
        <f t="shared" si="68"/>
        <v>596900.37253000005</v>
      </c>
      <c r="H188" s="289">
        <f t="shared" si="68"/>
        <v>596928.07253</v>
      </c>
      <c r="I188" s="265">
        <f t="shared" si="68"/>
        <v>593402.72997999995</v>
      </c>
      <c r="J188" s="265">
        <f t="shared" si="68"/>
        <v>2373610.9199199998</v>
      </c>
    </row>
    <row r="189" spans="1:10" s="240" customFormat="1" x14ac:dyDescent="0.25">
      <c r="A189" s="388"/>
      <c r="B189" s="388"/>
      <c r="C189" s="388"/>
      <c r="D189" s="277" t="s">
        <v>13</v>
      </c>
      <c r="E189" s="286">
        <f t="shared" si="64"/>
        <v>2432.3999999999996</v>
      </c>
      <c r="F189" s="286">
        <f>F159-F182</f>
        <v>2286.1999999999998</v>
      </c>
      <c r="G189" s="286">
        <f t="shared" ref="G189:J189" si="69">G159-G182</f>
        <v>74.7</v>
      </c>
      <c r="H189" s="286">
        <f t="shared" si="69"/>
        <v>71.5</v>
      </c>
      <c r="I189" s="286">
        <f t="shared" si="69"/>
        <v>0</v>
      </c>
      <c r="J189" s="286">
        <f t="shared" si="69"/>
        <v>0</v>
      </c>
    </row>
    <row r="190" spans="1:10" s="240" customFormat="1" x14ac:dyDescent="0.25">
      <c r="A190" s="388"/>
      <c r="B190" s="388"/>
      <c r="C190" s="388"/>
      <c r="D190" s="277" t="s">
        <v>14</v>
      </c>
      <c r="E190" s="286">
        <f t="shared" si="64"/>
        <v>9311.7999999999993</v>
      </c>
      <c r="F190" s="286">
        <f t="shared" ref="F190:J194" si="70">F160-F183</f>
        <v>4405</v>
      </c>
      <c r="G190" s="286">
        <f t="shared" si="70"/>
        <v>1702.8999999999999</v>
      </c>
      <c r="H190" s="286">
        <f t="shared" si="70"/>
        <v>1473.8999999999999</v>
      </c>
      <c r="I190" s="286">
        <f t="shared" si="70"/>
        <v>346</v>
      </c>
      <c r="J190" s="286">
        <f t="shared" si="70"/>
        <v>1384</v>
      </c>
    </row>
    <row r="191" spans="1:10" s="240" customFormat="1" x14ac:dyDescent="0.25">
      <c r="A191" s="388"/>
      <c r="B191" s="388"/>
      <c r="C191" s="388"/>
      <c r="D191" s="277" t="s">
        <v>15</v>
      </c>
      <c r="E191" s="286">
        <f t="shared" si="64"/>
        <v>2325287.5110599999</v>
      </c>
      <c r="F191" s="286">
        <f t="shared" si="70"/>
        <v>408747.49885000003</v>
      </c>
      <c r="G191" s="286">
        <f t="shared" si="70"/>
        <v>327141.05923000001</v>
      </c>
      <c r="H191" s="286">
        <f t="shared" si="70"/>
        <v>298107.40922999999</v>
      </c>
      <c r="I191" s="286">
        <f t="shared" si="70"/>
        <v>258258.30874999997</v>
      </c>
      <c r="J191" s="286">
        <f t="shared" si="70"/>
        <v>1033033.2349999999</v>
      </c>
    </row>
    <row r="192" spans="1:10" s="240" customFormat="1" ht="30" x14ac:dyDescent="0.25">
      <c r="A192" s="388"/>
      <c r="B192" s="388"/>
      <c r="C192" s="388"/>
      <c r="D192" s="277" t="s">
        <v>94</v>
      </c>
      <c r="E192" s="286">
        <f t="shared" si="64"/>
        <v>0</v>
      </c>
      <c r="F192" s="286">
        <f t="shared" si="70"/>
        <v>0</v>
      </c>
      <c r="G192" s="286">
        <f t="shared" si="70"/>
        <v>0</v>
      </c>
      <c r="H192" s="286">
        <f t="shared" si="70"/>
        <v>0</v>
      </c>
      <c r="I192" s="286">
        <f t="shared" si="70"/>
        <v>0</v>
      </c>
      <c r="J192" s="286">
        <f t="shared" si="70"/>
        <v>0</v>
      </c>
    </row>
    <row r="193" spans="1:10" s="240" customFormat="1" x14ac:dyDescent="0.25">
      <c r="A193" s="388"/>
      <c r="B193" s="388"/>
      <c r="C193" s="388"/>
      <c r="D193" s="277" t="s">
        <v>93</v>
      </c>
      <c r="E193" s="286">
        <f t="shared" si="64"/>
        <v>0</v>
      </c>
      <c r="F193" s="286">
        <f t="shared" si="70"/>
        <v>0</v>
      </c>
      <c r="G193" s="286">
        <f t="shared" si="70"/>
        <v>0</v>
      </c>
      <c r="H193" s="286">
        <f t="shared" si="70"/>
        <v>0</v>
      </c>
      <c r="I193" s="286">
        <f t="shared" si="70"/>
        <v>0</v>
      </c>
      <c r="J193" s="286">
        <f t="shared" si="70"/>
        <v>0</v>
      </c>
    </row>
    <row r="194" spans="1:10" s="240" customFormat="1" x14ac:dyDescent="0.25">
      <c r="A194" s="388"/>
      <c r="B194" s="388"/>
      <c r="C194" s="388"/>
      <c r="D194" s="277" t="s">
        <v>18</v>
      </c>
      <c r="E194" s="286">
        <f t="shared" si="64"/>
        <v>2449523.2547899997</v>
      </c>
      <c r="F194" s="286">
        <f t="shared" si="70"/>
        <v>210274.17204000009</v>
      </c>
      <c r="G194" s="286">
        <f t="shared" si="70"/>
        <v>267981.7133</v>
      </c>
      <c r="H194" s="286">
        <f t="shared" si="70"/>
        <v>297275.26329999999</v>
      </c>
      <c r="I194" s="286">
        <f t="shared" si="70"/>
        <v>334798.42122999998</v>
      </c>
      <c r="J194" s="286">
        <f t="shared" si="70"/>
        <v>1339193.6849199999</v>
      </c>
    </row>
    <row r="195" spans="1:10" s="240" customFormat="1" x14ac:dyDescent="0.25">
      <c r="A195" s="389" t="s">
        <v>79</v>
      </c>
      <c r="B195" s="389"/>
      <c r="C195" s="389"/>
      <c r="D195" s="277"/>
      <c r="E195" s="290"/>
      <c r="F195" s="290"/>
      <c r="G195" s="290"/>
      <c r="H195" s="290"/>
      <c r="I195" s="290"/>
      <c r="J195" s="290"/>
    </row>
    <row r="196" spans="1:10" s="240" customFormat="1" x14ac:dyDescent="0.25">
      <c r="A196" s="388" t="s">
        <v>148</v>
      </c>
      <c r="B196" s="388"/>
      <c r="C196" s="388"/>
      <c r="D196" s="241" t="s">
        <v>12</v>
      </c>
      <c r="E196" s="265">
        <f t="shared" ref="E196:E209" si="71">SUM(F196:J196)</f>
        <v>4677395.9318499994</v>
      </c>
      <c r="F196" s="265">
        <f t="shared" ref="F196:J196" si="72">SUM(F197:F202)</f>
        <v>608653.20189000014</v>
      </c>
      <c r="G196" s="265">
        <f t="shared" si="72"/>
        <v>583052.77752999996</v>
      </c>
      <c r="H196" s="265">
        <f t="shared" si="72"/>
        <v>583052.77753000008</v>
      </c>
      <c r="I196" s="265">
        <f t="shared" si="72"/>
        <v>580527.4349799999</v>
      </c>
      <c r="J196" s="265">
        <f t="shared" si="72"/>
        <v>2322109.7399199996</v>
      </c>
    </row>
    <row r="197" spans="1:10" s="240" customFormat="1" x14ac:dyDescent="0.25">
      <c r="A197" s="388"/>
      <c r="B197" s="388"/>
      <c r="C197" s="388"/>
      <c r="D197" s="277" t="s">
        <v>13</v>
      </c>
      <c r="E197" s="286">
        <f t="shared" si="71"/>
        <v>2432.3999999999996</v>
      </c>
      <c r="F197" s="291">
        <f>F159-F204-F211-F218</f>
        <v>2286.1999999999998</v>
      </c>
      <c r="G197" s="291">
        <f t="shared" ref="G197:J197" si="73">G159-G204-G211-G218</f>
        <v>74.7</v>
      </c>
      <c r="H197" s="291">
        <f t="shared" si="73"/>
        <v>71.5</v>
      </c>
      <c r="I197" s="291">
        <f t="shared" si="73"/>
        <v>0</v>
      </c>
      <c r="J197" s="291">
        <f t="shared" si="73"/>
        <v>0</v>
      </c>
    </row>
    <row r="198" spans="1:10" s="240" customFormat="1" x14ac:dyDescent="0.25">
      <c r="A198" s="388"/>
      <c r="B198" s="388"/>
      <c r="C198" s="388"/>
      <c r="D198" s="277" t="s">
        <v>14</v>
      </c>
      <c r="E198" s="286">
        <f t="shared" si="71"/>
        <v>6621.2999999999993</v>
      </c>
      <c r="F198" s="291">
        <f t="shared" ref="F198:J202" si="74">F160-F205-F212-F219</f>
        <v>4108.8</v>
      </c>
      <c r="G198" s="291">
        <f t="shared" si="74"/>
        <v>1384.6</v>
      </c>
      <c r="H198" s="291">
        <f t="shared" si="74"/>
        <v>1127.8999999999999</v>
      </c>
      <c r="I198" s="291">
        <f t="shared" si="74"/>
        <v>0</v>
      </c>
      <c r="J198" s="291">
        <f t="shared" si="74"/>
        <v>0</v>
      </c>
    </row>
    <row r="199" spans="1:10" s="240" customFormat="1" x14ac:dyDescent="0.25">
      <c r="A199" s="388"/>
      <c r="B199" s="388"/>
      <c r="C199" s="388"/>
      <c r="D199" s="277" t="s">
        <v>15</v>
      </c>
      <c r="E199" s="245">
        <f>SUM(F199:J199)</f>
        <v>2271671.5110599999</v>
      </c>
      <c r="F199" s="291">
        <f t="shared" si="74"/>
        <v>401420.49885000003</v>
      </c>
      <c r="G199" s="291">
        <f t="shared" si="74"/>
        <v>319814.05923000001</v>
      </c>
      <c r="H199" s="291">
        <f t="shared" si="74"/>
        <v>290780.40922999999</v>
      </c>
      <c r="I199" s="291">
        <f t="shared" si="74"/>
        <v>251931.30874999997</v>
      </c>
      <c r="J199" s="291">
        <f t="shared" si="74"/>
        <v>1007725.2349999999</v>
      </c>
    </row>
    <row r="200" spans="1:10" s="240" customFormat="1" ht="30" x14ac:dyDescent="0.25">
      <c r="A200" s="388"/>
      <c r="B200" s="388"/>
      <c r="C200" s="388"/>
      <c r="D200" s="277" t="s">
        <v>94</v>
      </c>
      <c r="E200" s="286">
        <f t="shared" si="71"/>
        <v>0</v>
      </c>
      <c r="F200" s="291">
        <f t="shared" si="74"/>
        <v>0</v>
      </c>
      <c r="G200" s="291">
        <f t="shared" si="74"/>
        <v>0</v>
      </c>
      <c r="H200" s="291">
        <f t="shared" si="74"/>
        <v>0</v>
      </c>
      <c r="I200" s="291">
        <f t="shared" si="74"/>
        <v>0</v>
      </c>
      <c r="J200" s="291">
        <f t="shared" si="74"/>
        <v>0</v>
      </c>
    </row>
    <row r="201" spans="1:10" s="240" customFormat="1" x14ac:dyDescent="0.25">
      <c r="A201" s="388"/>
      <c r="B201" s="388"/>
      <c r="C201" s="388"/>
      <c r="D201" s="277" t="s">
        <v>93</v>
      </c>
      <c r="E201" s="286">
        <f t="shared" si="71"/>
        <v>0</v>
      </c>
      <c r="F201" s="291">
        <f t="shared" si="74"/>
        <v>0</v>
      </c>
      <c r="G201" s="291">
        <f t="shared" si="74"/>
        <v>0</v>
      </c>
      <c r="H201" s="291">
        <f t="shared" si="74"/>
        <v>0</v>
      </c>
      <c r="I201" s="291">
        <f t="shared" si="74"/>
        <v>0</v>
      </c>
      <c r="J201" s="291">
        <f t="shared" si="74"/>
        <v>0</v>
      </c>
    </row>
    <row r="202" spans="1:10" s="240" customFormat="1" x14ac:dyDescent="0.25">
      <c r="A202" s="388"/>
      <c r="B202" s="388"/>
      <c r="C202" s="388"/>
      <c r="D202" s="277" t="s">
        <v>18</v>
      </c>
      <c r="E202" s="286">
        <f t="shared" si="71"/>
        <v>2396670.7207900002</v>
      </c>
      <c r="F202" s="291">
        <f t="shared" si="74"/>
        <v>200837.70304000008</v>
      </c>
      <c r="G202" s="291">
        <f t="shared" si="74"/>
        <v>261779.41829999999</v>
      </c>
      <c r="H202" s="291">
        <f t="shared" si="74"/>
        <v>291072.96830000001</v>
      </c>
      <c r="I202" s="291">
        <f t="shared" si="74"/>
        <v>328596.12622999999</v>
      </c>
      <c r="J202" s="291">
        <f t="shared" si="74"/>
        <v>1314384.50492</v>
      </c>
    </row>
    <row r="203" spans="1:10" s="240" customFormat="1" x14ac:dyDescent="0.25">
      <c r="A203" s="388" t="s">
        <v>328</v>
      </c>
      <c r="B203" s="388"/>
      <c r="C203" s="388"/>
      <c r="D203" s="241" t="s">
        <v>12</v>
      </c>
      <c r="E203" s="265">
        <f t="shared" si="71"/>
        <v>820611.21117999998</v>
      </c>
      <c r="F203" s="265">
        <f t="shared" ref="F203:J203" si="75">SUM(F204:F209)</f>
        <v>618556.89977000002</v>
      </c>
      <c r="G203" s="265">
        <f t="shared" si="75"/>
        <v>17256.996040000002</v>
      </c>
      <c r="H203" s="265">
        <f t="shared" si="75"/>
        <v>184797.31537</v>
      </c>
      <c r="I203" s="265">
        <f t="shared" si="75"/>
        <v>0</v>
      </c>
      <c r="J203" s="265">
        <f t="shared" si="75"/>
        <v>0</v>
      </c>
    </row>
    <row r="204" spans="1:10" s="240" customFormat="1" x14ac:dyDescent="0.25">
      <c r="A204" s="388"/>
      <c r="B204" s="388"/>
      <c r="C204" s="388"/>
      <c r="D204" s="277" t="s">
        <v>13</v>
      </c>
      <c r="E204" s="286">
        <f t="shared" si="71"/>
        <v>0</v>
      </c>
      <c r="F204" s="288">
        <f>F31</f>
        <v>0</v>
      </c>
      <c r="G204" s="288">
        <f t="shared" ref="G204:J204" si="76">G31</f>
        <v>0</v>
      </c>
      <c r="H204" s="288">
        <f t="shared" si="76"/>
        <v>0</v>
      </c>
      <c r="I204" s="288">
        <f t="shared" si="76"/>
        <v>0</v>
      </c>
      <c r="J204" s="288">
        <f t="shared" si="76"/>
        <v>0</v>
      </c>
    </row>
    <row r="205" spans="1:10" s="240" customFormat="1" x14ac:dyDescent="0.25">
      <c r="A205" s="388"/>
      <c r="B205" s="388"/>
      <c r="C205" s="388"/>
      <c r="D205" s="277" t="s">
        <v>14</v>
      </c>
      <c r="E205" s="286">
        <f t="shared" si="71"/>
        <v>0</v>
      </c>
      <c r="F205" s="288">
        <f t="shared" ref="F205:J209" si="77">F32</f>
        <v>0</v>
      </c>
      <c r="G205" s="288">
        <f t="shared" si="77"/>
        <v>0</v>
      </c>
      <c r="H205" s="288">
        <f t="shared" si="77"/>
        <v>0</v>
      </c>
      <c r="I205" s="288">
        <f t="shared" si="77"/>
        <v>0</v>
      </c>
      <c r="J205" s="288">
        <f t="shared" si="77"/>
        <v>0</v>
      </c>
    </row>
    <row r="206" spans="1:10" s="240" customFormat="1" x14ac:dyDescent="0.25">
      <c r="A206" s="388"/>
      <c r="B206" s="388"/>
      <c r="C206" s="388"/>
      <c r="D206" s="277" t="s">
        <v>15</v>
      </c>
      <c r="E206" s="245">
        <f t="shared" si="71"/>
        <v>0</v>
      </c>
      <c r="F206" s="288">
        <f t="shared" si="77"/>
        <v>0</v>
      </c>
      <c r="G206" s="288">
        <f t="shared" si="77"/>
        <v>0</v>
      </c>
      <c r="H206" s="288">
        <f t="shared" si="77"/>
        <v>0</v>
      </c>
      <c r="I206" s="288">
        <f t="shared" si="77"/>
        <v>0</v>
      </c>
      <c r="J206" s="288">
        <f t="shared" si="77"/>
        <v>0</v>
      </c>
    </row>
    <row r="207" spans="1:10" s="240" customFormat="1" ht="30" x14ac:dyDescent="0.25">
      <c r="A207" s="388"/>
      <c r="B207" s="388"/>
      <c r="C207" s="388"/>
      <c r="D207" s="277" t="s">
        <v>94</v>
      </c>
      <c r="E207" s="286">
        <f t="shared" si="71"/>
        <v>0</v>
      </c>
      <c r="F207" s="288">
        <f t="shared" si="77"/>
        <v>0</v>
      </c>
      <c r="G207" s="288">
        <f t="shared" si="77"/>
        <v>0</v>
      </c>
      <c r="H207" s="288">
        <f t="shared" si="77"/>
        <v>0</v>
      </c>
      <c r="I207" s="288">
        <f t="shared" si="77"/>
        <v>0</v>
      </c>
      <c r="J207" s="288">
        <f t="shared" si="77"/>
        <v>0</v>
      </c>
    </row>
    <row r="208" spans="1:10" s="240" customFormat="1" x14ac:dyDescent="0.25">
      <c r="A208" s="388"/>
      <c r="B208" s="388"/>
      <c r="C208" s="388"/>
      <c r="D208" s="277" t="s">
        <v>102</v>
      </c>
      <c r="E208" s="286">
        <f t="shared" si="71"/>
        <v>0</v>
      </c>
      <c r="F208" s="288">
        <f t="shared" si="77"/>
        <v>0</v>
      </c>
      <c r="G208" s="288">
        <f t="shared" si="77"/>
        <v>0</v>
      </c>
      <c r="H208" s="288">
        <f t="shared" si="77"/>
        <v>0</v>
      </c>
      <c r="I208" s="288">
        <f t="shared" si="77"/>
        <v>0</v>
      </c>
      <c r="J208" s="288">
        <f t="shared" si="77"/>
        <v>0</v>
      </c>
    </row>
    <row r="209" spans="1:10" s="240" customFormat="1" x14ac:dyDescent="0.25">
      <c r="A209" s="388"/>
      <c r="B209" s="388"/>
      <c r="C209" s="388"/>
      <c r="D209" s="290" t="s">
        <v>18</v>
      </c>
      <c r="E209" s="286">
        <f t="shared" si="71"/>
        <v>820611.21117999998</v>
      </c>
      <c r="F209" s="288">
        <f t="shared" si="77"/>
        <v>618556.89977000002</v>
      </c>
      <c r="G209" s="288">
        <f t="shared" si="77"/>
        <v>17256.996040000002</v>
      </c>
      <c r="H209" s="288">
        <f t="shared" si="77"/>
        <v>184797.31537</v>
      </c>
      <c r="I209" s="288">
        <f t="shared" si="77"/>
        <v>0</v>
      </c>
      <c r="J209" s="288">
        <f t="shared" si="77"/>
        <v>0</v>
      </c>
    </row>
    <row r="210" spans="1:10" s="240" customFormat="1" ht="15" customHeight="1" x14ac:dyDescent="0.25">
      <c r="A210" s="388" t="s">
        <v>365</v>
      </c>
      <c r="B210" s="388"/>
      <c r="C210" s="388"/>
      <c r="D210" s="277" t="s">
        <v>12</v>
      </c>
      <c r="E210" s="236">
        <f>SUM(F210:J210)</f>
        <v>6234.174</v>
      </c>
      <c r="F210" s="236">
        <f t="shared" ref="F210" si="78">SUM(F211:F216)</f>
        <v>4234.174</v>
      </c>
      <c r="G210" s="236">
        <f>SUM(G211:G216)</f>
        <v>1000</v>
      </c>
      <c r="H210" s="236">
        <f t="shared" ref="H210:J210" si="79">SUM(H211:H216)</f>
        <v>1000</v>
      </c>
      <c r="I210" s="236">
        <f t="shared" si="79"/>
        <v>0</v>
      </c>
      <c r="J210" s="236">
        <f t="shared" si="79"/>
        <v>0</v>
      </c>
    </row>
    <row r="211" spans="1:10" s="240" customFormat="1" x14ac:dyDescent="0.25">
      <c r="A211" s="388"/>
      <c r="B211" s="388"/>
      <c r="C211" s="388"/>
      <c r="D211" s="277" t="s">
        <v>13</v>
      </c>
      <c r="E211" s="237">
        <f t="shared" ref="E211:E212" si="80">SUM(F211:J211)</f>
        <v>0</v>
      </c>
      <c r="F211" s="237">
        <f>F81</f>
        <v>0</v>
      </c>
      <c r="G211" s="237">
        <f t="shared" ref="G211:J211" si="81">G81</f>
        <v>0</v>
      </c>
      <c r="H211" s="237">
        <f t="shared" si="81"/>
        <v>0</v>
      </c>
      <c r="I211" s="237">
        <f t="shared" si="81"/>
        <v>0</v>
      </c>
      <c r="J211" s="237">
        <f t="shared" si="81"/>
        <v>0</v>
      </c>
    </row>
    <row r="212" spans="1:10" s="240" customFormat="1" x14ac:dyDescent="0.25">
      <c r="A212" s="388"/>
      <c r="B212" s="388"/>
      <c r="C212" s="388"/>
      <c r="D212" s="277" t="s">
        <v>14</v>
      </c>
      <c r="E212" s="237">
        <f t="shared" si="80"/>
        <v>0</v>
      </c>
      <c r="F212" s="237">
        <f t="shared" ref="F212:J216" si="82">F82</f>
        <v>0</v>
      </c>
      <c r="G212" s="237">
        <f t="shared" si="82"/>
        <v>0</v>
      </c>
      <c r="H212" s="237">
        <f t="shared" si="82"/>
        <v>0</v>
      </c>
      <c r="I212" s="237">
        <f t="shared" si="82"/>
        <v>0</v>
      </c>
      <c r="J212" s="237">
        <f t="shared" si="82"/>
        <v>0</v>
      </c>
    </row>
    <row r="213" spans="1:10" s="240" customFormat="1" x14ac:dyDescent="0.25">
      <c r="A213" s="388"/>
      <c r="B213" s="388"/>
      <c r="C213" s="388"/>
      <c r="D213" s="277" t="s">
        <v>15</v>
      </c>
      <c r="E213" s="237">
        <f>SUM(F213:J213)</f>
        <v>3000</v>
      </c>
      <c r="F213" s="237">
        <f t="shared" si="82"/>
        <v>1000</v>
      </c>
      <c r="G213" s="237">
        <f t="shared" si="82"/>
        <v>1000</v>
      </c>
      <c r="H213" s="237">
        <f t="shared" si="82"/>
        <v>1000</v>
      </c>
      <c r="I213" s="237">
        <f t="shared" si="82"/>
        <v>0</v>
      </c>
      <c r="J213" s="237">
        <f t="shared" si="82"/>
        <v>0</v>
      </c>
    </row>
    <row r="214" spans="1:10" s="240" customFormat="1" ht="30" x14ac:dyDescent="0.25">
      <c r="A214" s="388"/>
      <c r="B214" s="388"/>
      <c r="C214" s="388"/>
      <c r="D214" s="277" t="s">
        <v>94</v>
      </c>
      <c r="E214" s="237">
        <f t="shared" ref="E214:E216" si="83">SUM(F214:J214)</f>
        <v>0</v>
      </c>
      <c r="F214" s="237">
        <f t="shared" si="82"/>
        <v>0</v>
      </c>
      <c r="G214" s="237">
        <f t="shared" si="82"/>
        <v>0</v>
      </c>
      <c r="H214" s="237">
        <f t="shared" si="82"/>
        <v>0</v>
      </c>
      <c r="I214" s="237">
        <f t="shared" si="82"/>
        <v>0</v>
      </c>
      <c r="J214" s="237">
        <f t="shared" si="82"/>
        <v>0</v>
      </c>
    </row>
    <row r="215" spans="1:10" s="240" customFormat="1" x14ac:dyDescent="0.25">
      <c r="A215" s="388"/>
      <c r="B215" s="388"/>
      <c r="C215" s="388"/>
      <c r="D215" s="277" t="s">
        <v>102</v>
      </c>
      <c r="E215" s="237">
        <f t="shared" si="83"/>
        <v>0</v>
      </c>
      <c r="F215" s="237">
        <f t="shared" si="82"/>
        <v>0</v>
      </c>
      <c r="G215" s="237">
        <f t="shared" si="82"/>
        <v>0</v>
      </c>
      <c r="H215" s="237">
        <f t="shared" si="82"/>
        <v>0</v>
      </c>
      <c r="I215" s="237">
        <f t="shared" si="82"/>
        <v>0</v>
      </c>
      <c r="J215" s="237">
        <f t="shared" si="82"/>
        <v>0</v>
      </c>
    </row>
    <row r="216" spans="1:10" s="240" customFormat="1" x14ac:dyDescent="0.25">
      <c r="A216" s="388"/>
      <c r="B216" s="388"/>
      <c r="C216" s="388"/>
      <c r="D216" s="290" t="s">
        <v>18</v>
      </c>
      <c r="E216" s="237">
        <f t="shared" si="83"/>
        <v>3234.174</v>
      </c>
      <c r="F216" s="237">
        <f t="shared" si="82"/>
        <v>3234.174</v>
      </c>
      <c r="G216" s="237">
        <f t="shared" si="82"/>
        <v>0</v>
      </c>
      <c r="H216" s="237">
        <f t="shared" si="82"/>
        <v>0</v>
      </c>
      <c r="I216" s="237">
        <f t="shared" si="82"/>
        <v>0</v>
      </c>
      <c r="J216" s="237">
        <f t="shared" si="82"/>
        <v>0</v>
      </c>
    </row>
    <row r="217" spans="1:10" x14ac:dyDescent="0.25">
      <c r="A217" s="388" t="s">
        <v>336</v>
      </c>
      <c r="B217" s="388"/>
      <c r="C217" s="388"/>
      <c r="D217" s="277" t="s">
        <v>12</v>
      </c>
      <c r="E217" s="236">
        <f>SUM(F217:J217)</f>
        <v>102924.86</v>
      </c>
      <c r="F217" s="236">
        <f t="shared" ref="F217" si="84">SUM(F218:F223)</f>
        <v>12825.494999999999</v>
      </c>
      <c r="G217" s="236">
        <f>SUM(G218:G223)</f>
        <v>12847.595000000001</v>
      </c>
      <c r="H217" s="236">
        <f t="shared" ref="H217:J217" si="85">SUM(H218:H223)</f>
        <v>12875.295</v>
      </c>
      <c r="I217" s="236">
        <f t="shared" si="85"/>
        <v>12875.295</v>
      </c>
      <c r="J217" s="236">
        <f t="shared" si="85"/>
        <v>51501.18</v>
      </c>
    </row>
    <row r="218" spans="1:10" x14ac:dyDescent="0.25">
      <c r="A218" s="388"/>
      <c r="B218" s="388"/>
      <c r="C218" s="388"/>
      <c r="D218" s="277" t="s">
        <v>13</v>
      </c>
      <c r="E218" s="237">
        <f t="shared" ref="E218:E223" si="86">SUM(F218:J218)</f>
        <v>0</v>
      </c>
      <c r="F218" s="237">
        <f>F145</f>
        <v>0</v>
      </c>
      <c r="G218" s="237">
        <f t="shared" ref="G218:J218" si="87">G145</f>
        <v>0</v>
      </c>
      <c r="H218" s="237">
        <f t="shared" si="87"/>
        <v>0</v>
      </c>
      <c r="I218" s="237">
        <f t="shared" si="87"/>
        <v>0</v>
      </c>
      <c r="J218" s="237">
        <f t="shared" si="87"/>
        <v>0</v>
      </c>
    </row>
    <row r="219" spans="1:10" x14ac:dyDescent="0.25">
      <c r="A219" s="388"/>
      <c r="B219" s="388"/>
      <c r="C219" s="388"/>
      <c r="D219" s="277" t="s">
        <v>14</v>
      </c>
      <c r="E219" s="237">
        <f t="shared" si="86"/>
        <v>2690.5</v>
      </c>
      <c r="F219" s="237">
        <f t="shared" ref="F219:J223" si="88">F146</f>
        <v>296.2</v>
      </c>
      <c r="G219" s="237">
        <f t="shared" si="88"/>
        <v>318.3</v>
      </c>
      <c r="H219" s="237">
        <f t="shared" si="88"/>
        <v>346</v>
      </c>
      <c r="I219" s="237">
        <f t="shared" si="88"/>
        <v>346</v>
      </c>
      <c r="J219" s="237">
        <f t="shared" si="88"/>
        <v>1384</v>
      </c>
    </row>
    <row r="220" spans="1:10" x14ac:dyDescent="0.25">
      <c r="A220" s="388"/>
      <c r="B220" s="388"/>
      <c r="C220" s="388"/>
      <c r="D220" s="277" t="s">
        <v>15</v>
      </c>
      <c r="E220" s="237">
        <f>SUM(F220:J220)</f>
        <v>50616</v>
      </c>
      <c r="F220" s="237">
        <f t="shared" si="88"/>
        <v>6327</v>
      </c>
      <c r="G220" s="237">
        <f t="shared" si="88"/>
        <v>6327</v>
      </c>
      <c r="H220" s="237">
        <f t="shared" si="88"/>
        <v>6327</v>
      </c>
      <c r="I220" s="237">
        <f t="shared" si="88"/>
        <v>6327</v>
      </c>
      <c r="J220" s="237">
        <f t="shared" si="88"/>
        <v>25308</v>
      </c>
    </row>
    <row r="221" spans="1:10" ht="30" x14ac:dyDescent="0.25">
      <c r="A221" s="388"/>
      <c r="B221" s="388"/>
      <c r="C221" s="388"/>
      <c r="D221" s="277" t="s">
        <v>94</v>
      </c>
      <c r="E221" s="237">
        <f t="shared" si="86"/>
        <v>0</v>
      </c>
      <c r="F221" s="237">
        <f t="shared" si="88"/>
        <v>0</v>
      </c>
      <c r="G221" s="237">
        <f t="shared" si="88"/>
        <v>0</v>
      </c>
      <c r="H221" s="237">
        <f t="shared" si="88"/>
        <v>0</v>
      </c>
      <c r="I221" s="237">
        <f t="shared" si="88"/>
        <v>0</v>
      </c>
      <c r="J221" s="237">
        <f t="shared" si="88"/>
        <v>0</v>
      </c>
    </row>
    <row r="222" spans="1:10" x14ac:dyDescent="0.25">
      <c r="A222" s="388"/>
      <c r="B222" s="388"/>
      <c r="C222" s="388"/>
      <c r="D222" s="277" t="s">
        <v>102</v>
      </c>
      <c r="E222" s="237">
        <f t="shared" si="86"/>
        <v>0</v>
      </c>
      <c r="F222" s="237">
        <f t="shared" si="88"/>
        <v>0</v>
      </c>
      <c r="G222" s="237">
        <f t="shared" si="88"/>
        <v>0</v>
      </c>
      <c r="H222" s="237">
        <f t="shared" si="88"/>
        <v>0</v>
      </c>
      <c r="I222" s="237">
        <f t="shared" si="88"/>
        <v>0</v>
      </c>
      <c r="J222" s="237">
        <f t="shared" si="88"/>
        <v>0</v>
      </c>
    </row>
    <row r="223" spans="1:10" x14ac:dyDescent="0.25">
      <c r="A223" s="388"/>
      <c r="B223" s="388"/>
      <c r="C223" s="388"/>
      <c r="D223" s="290" t="s">
        <v>18</v>
      </c>
      <c r="E223" s="237">
        <f t="shared" si="86"/>
        <v>49618.36</v>
      </c>
      <c r="F223" s="237">
        <f t="shared" si="88"/>
        <v>6202.2950000000001</v>
      </c>
      <c r="G223" s="237">
        <f t="shared" si="88"/>
        <v>6202.2950000000001</v>
      </c>
      <c r="H223" s="237">
        <f t="shared" si="88"/>
        <v>6202.2950000000001</v>
      </c>
      <c r="I223" s="237">
        <f t="shared" si="88"/>
        <v>6202.2950000000001</v>
      </c>
      <c r="J223" s="237">
        <f t="shared" si="88"/>
        <v>24809.18</v>
      </c>
    </row>
    <row r="224" spans="1:10" ht="21.75" customHeight="1" x14ac:dyDescent="0.25">
      <c r="A224" s="247"/>
      <c r="B224" s="248"/>
      <c r="C224" s="249"/>
      <c r="D224" s="249"/>
      <c r="E224" s="249"/>
      <c r="F224" s="249"/>
      <c r="G224" s="250"/>
      <c r="H224" s="249"/>
      <c r="I224" s="249"/>
      <c r="J224" s="249"/>
    </row>
    <row r="225" spans="1:10" hidden="1" x14ac:dyDescent="0.25">
      <c r="A225" s="385" t="s">
        <v>103</v>
      </c>
      <c r="B225" s="385"/>
      <c r="C225" s="385"/>
      <c r="D225" s="385"/>
      <c r="E225" s="385"/>
      <c r="F225" s="385"/>
      <c r="G225" s="385"/>
      <c r="H225" s="385"/>
      <c r="I225" s="385"/>
      <c r="J225" s="385"/>
    </row>
    <row r="226" spans="1:10" ht="48" hidden="1" customHeight="1" x14ac:dyDescent="0.25">
      <c r="A226" s="385" t="s">
        <v>104</v>
      </c>
      <c r="B226" s="385"/>
      <c r="C226" s="385"/>
      <c r="D226" s="385"/>
      <c r="E226" s="385"/>
      <c r="F226" s="385"/>
      <c r="G226" s="385"/>
      <c r="H226" s="385"/>
      <c r="I226" s="385"/>
      <c r="J226" s="385"/>
    </row>
    <row r="227" spans="1:10" ht="30" hidden="1" customHeight="1" x14ac:dyDescent="0.25">
      <c r="A227" s="385" t="s">
        <v>107</v>
      </c>
      <c r="B227" s="385"/>
      <c r="C227" s="385"/>
      <c r="D227" s="385"/>
      <c r="E227" s="385"/>
      <c r="F227" s="385"/>
      <c r="G227" s="385"/>
      <c r="H227" s="385"/>
      <c r="I227" s="385"/>
      <c r="J227" s="385"/>
    </row>
    <row r="228" spans="1:10" hidden="1" x14ac:dyDescent="0.25">
      <c r="A228" s="385" t="s">
        <v>108</v>
      </c>
      <c r="B228" s="385"/>
      <c r="C228" s="385"/>
      <c r="D228" s="385"/>
      <c r="E228" s="385"/>
      <c r="F228" s="385"/>
      <c r="G228" s="385"/>
      <c r="H228" s="385"/>
      <c r="I228" s="385"/>
      <c r="J228" s="385"/>
    </row>
    <row r="229" spans="1:10" hidden="1" x14ac:dyDescent="0.25">
      <c r="A229" s="385" t="s">
        <v>105</v>
      </c>
      <c r="B229" s="385"/>
      <c r="C229" s="385"/>
      <c r="D229" s="385"/>
      <c r="E229" s="385"/>
      <c r="F229" s="385"/>
      <c r="G229" s="385"/>
      <c r="H229" s="385"/>
      <c r="I229" s="385"/>
      <c r="J229" s="385"/>
    </row>
    <row r="230" spans="1:10" hidden="1" x14ac:dyDescent="0.25">
      <c r="A230" s="385" t="s">
        <v>106</v>
      </c>
      <c r="B230" s="385"/>
      <c r="C230" s="385"/>
      <c r="D230" s="385"/>
      <c r="E230" s="385"/>
      <c r="F230" s="385"/>
      <c r="G230" s="385"/>
      <c r="H230" s="385"/>
      <c r="I230" s="385"/>
      <c r="J230" s="385"/>
    </row>
    <row r="231" spans="1:10" hidden="1" x14ac:dyDescent="0.25">
      <c r="E231" s="246"/>
      <c r="F231" s="246"/>
      <c r="G231" s="251"/>
      <c r="H231" s="246"/>
      <c r="I231" s="246"/>
      <c r="J231" s="246"/>
    </row>
  </sheetData>
  <mergeCells count="75">
    <mergeCell ref="A8:J8"/>
    <mergeCell ref="A9:A15"/>
    <mergeCell ref="B9:B15"/>
    <mergeCell ref="C9:C15"/>
    <mergeCell ref="A16:A36"/>
    <mergeCell ref="A2:J2"/>
    <mergeCell ref="A4:A6"/>
    <mergeCell ref="B4:B6"/>
    <mergeCell ref="C4:C6"/>
    <mergeCell ref="D4:D6"/>
    <mergeCell ref="E4:J4"/>
    <mergeCell ref="E5:J5"/>
    <mergeCell ref="B16:B36"/>
    <mergeCell ref="C16:C22"/>
    <mergeCell ref="C23:C29"/>
    <mergeCell ref="C30:C36"/>
    <mergeCell ref="C45:C51"/>
    <mergeCell ref="A37:C43"/>
    <mergeCell ref="A44:J44"/>
    <mergeCell ref="A45:A51"/>
    <mergeCell ref="B45:B51"/>
    <mergeCell ref="A52:A58"/>
    <mergeCell ref="B52:B58"/>
    <mergeCell ref="C52:C58"/>
    <mergeCell ref="A94:A100"/>
    <mergeCell ref="B94:B100"/>
    <mergeCell ref="C94:C100"/>
    <mergeCell ref="A59:A65"/>
    <mergeCell ref="B59:B65"/>
    <mergeCell ref="C59:C65"/>
    <mergeCell ref="A66:A93"/>
    <mergeCell ref="B66:B93"/>
    <mergeCell ref="C66:C72"/>
    <mergeCell ref="C73:C79"/>
    <mergeCell ref="C80:C86"/>
    <mergeCell ref="C87:C93"/>
    <mergeCell ref="A101:A107"/>
    <mergeCell ref="B101:B107"/>
    <mergeCell ref="C101:C107"/>
    <mergeCell ref="A137:A143"/>
    <mergeCell ref="B137:B143"/>
    <mergeCell ref="C137:C143"/>
    <mergeCell ref="A108:A114"/>
    <mergeCell ref="B108:B114"/>
    <mergeCell ref="C108:C114"/>
    <mergeCell ref="A115:A121"/>
    <mergeCell ref="B115:B121"/>
    <mergeCell ref="C115:C121"/>
    <mergeCell ref="A122:A128"/>
    <mergeCell ref="B122:B128"/>
    <mergeCell ref="C122:C128"/>
    <mergeCell ref="A129:C135"/>
    <mergeCell ref="A136:J136"/>
    <mergeCell ref="A144:A150"/>
    <mergeCell ref="B144:B150"/>
    <mergeCell ref="C144:C150"/>
    <mergeCell ref="A151:C157"/>
    <mergeCell ref="A158:C164"/>
    <mergeCell ref="A225:J225"/>
    <mergeCell ref="A165:C165"/>
    <mergeCell ref="A166:C172"/>
    <mergeCell ref="A173:C179"/>
    <mergeCell ref="A180:C180"/>
    <mergeCell ref="A181:C187"/>
    <mergeCell ref="A188:C194"/>
    <mergeCell ref="A195:C195"/>
    <mergeCell ref="A196:C202"/>
    <mergeCell ref="A203:C209"/>
    <mergeCell ref="A210:C216"/>
    <mergeCell ref="A217:C223"/>
    <mergeCell ref="A226:J226"/>
    <mergeCell ref="A227:J227"/>
    <mergeCell ref="A228:J228"/>
    <mergeCell ref="A229:J229"/>
    <mergeCell ref="A230:J230"/>
  </mergeCells>
  <pageMargins left="0.19685039370078741" right="0.19685039370078741" top="0.19685039370078741" bottom="0.19685039370078741" header="0" footer="0"/>
  <pageSetup paperSize="9" scale="59" fitToHeight="0" orientation="landscape" r:id="rId1"/>
  <rowBreaks count="4" manualBreakCount="4">
    <brk id="43" max="16383" man="1"/>
    <brk id="93" max="9" man="1"/>
    <brk id="150" max="9" man="1"/>
    <brk id="194" max="9"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zoomScale="85" zoomScaleNormal="85" workbookViewId="0">
      <selection activeCell="D18" sqref="D18"/>
    </sheetView>
  </sheetViews>
  <sheetFormatPr defaultRowHeight="15" x14ac:dyDescent="0.25"/>
  <cols>
    <col min="1" max="1" width="17.7109375" customWidth="1"/>
    <col min="2" max="2" width="60.140625" customWidth="1"/>
    <col min="3" max="3" width="40.7109375" customWidth="1"/>
    <col min="4" max="4" width="43" customWidth="1"/>
    <col min="5" max="5" width="16.7109375" customWidth="1"/>
    <col min="6" max="6" width="51.7109375" customWidth="1"/>
  </cols>
  <sheetData>
    <row r="1" spans="1:5" x14ac:dyDescent="0.25">
      <c r="D1" s="12" t="s">
        <v>80</v>
      </c>
    </row>
    <row r="2" spans="1:5" x14ac:dyDescent="0.25">
      <c r="A2" s="6"/>
    </row>
    <row r="3" spans="1:5" x14ac:dyDescent="0.25">
      <c r="A3" s="420" t="s">
        <v>81</v>
      </c>
      <c r="B3" s="420"/>
      <c r="C3" s="420"/>
      <c r="D3" s="420"/>
    </row>
    <row r="4" spans="1:5" ht="15.75" x14ac:dyDescent="0.25">
      <c r="A4" s="18"/>
    </row>
    <row r="5" spans="1:5" ht="15.75" x14ac:dyDescent="0.25">
      <c r="A5" s="19"/>
    </row>
    <row r="6" spans="1:5" ht="66.75" customHeight="1" x14ac:dyDescent="0.25">
      <c r="A6" s="22" t="s">
        <v>82</v>
      </c>
      <c r="B6" s="22" t="s">
        <v>83</v>
      </c>
      <c r="C6" s="22" t="s">
        <v>84</v>
      </c>
      <c r="D6" s="22" t="s">
        <v>85</v>
      </c>
      <c r="E6" s="7"/>
    </row>
    <row r="7" spans="1:5" x14ac:dyDescent="0.25">
      <c r="A7" s="22">
        <v>1</v>
      </c>
      <c r="B7" s="22">
        <v>2</v>
      </c>
      <c r="C7" s="22">
        <v>3</v>
      </c>
      <c r="D7" s="22">
        <v>4</v>
      </c>
      <c r="E7" s="7"/>
    </row>
    <row r="8" spans="1:5" s="2" customFormat="1" ht="41.25" customHeight="1" x14ac:dyDescent="0.25">
      <c r="A8" s="421" t="s">
        <v>154</v>
      </c>
      <c r="B8" s="421"/>
      <c r="C8" s="421"/>
      <c r="D8" s="421"/>
      <c r="E8" s="25"/>
    </row>
    <row r="9" spans="1:5" s="2" customFormat="1" x14ac:dyDescent="0.25">
      <c r="A9" s="421" t="s">
        <v>151</v>
      </c>
      <c r="B9" s="421"/>
      <c r="C9" s="421"/>
      <c r="D9" s="421"/>
      <c r="E9" s="25"/>
    </row>
    <row r="10" spans="1:5" s="2" customFormat="1" x14ac:dyDescent="0.25">
      <c r="A10" s="421" t="s">
        <v>132</v>
      </c>
      <c r="B10" s="421"/>
      <c r="C10" s="421"/>
      <c r="D10" s="421"/>
      <c r="E10" s="25"/>
    </row>
    <row r="11" spans="1:5" hidden="1" x14ac:dyDescent="0.25">
      <c r="A11" s="64"/>
      <c r="B11" s="11"/>
      <c r="C11" s="26"/>
      <c r="D11" s="77"/>
      <c r="E11" s="7"/>
    </row>
    <row r="12" spans="1:5" ht="114.75" customHeight="1" x14ac:dyDescent="0.25">
      <c r="A12" s="64" t="s">
        <v>86</v>
      </c>
      <c r="B12" s="11" t="s">
        <v>337</v>
      </c>
      <c r="C12" s="226" t="s">
        <v>322</v>
      </c>
      <c r="D12" s="275" t="s">
        <v>375</v>
      </c>
      <c r="E12" s="7"/>
    </row>
    <row r="13" spans="1:5" ht="132.75" customHeight="1" x14ac:dyDescent="0.25">
      <c r="A13" s="22" t="s">
        <v>133</v>
      </c>
      <c r="B13" s="11" t="s">
        <v>338</v>
      </c>
      <c r="C13" s="275" t="s">
        <v>371</v>
      </c>
      <c r="D13" s="275" t="s">
        <v>374</v>
      </c>
      <c r="E13" s="7"/>
    </row>
    <row r="14" spans="1:5" s="2" customFormat="1" ht="32.25" customHeight="1" x14ac:dyDescent="0.25">
      <c r="A14" s="421" t="s">
        <v>150</v>
      </c>
      <c r="B14" s="421"/>
      <c r="C14" s="421"/>
      <c r="D14" s="421"/>
      <c r="E14" s="25"/>
    </row>
    <row r="15" spans="1:5" s="2" customFormat="1" ht="30" customHeight="1" x14ac:dyDescent="0.25">
      <c r="A15" s="421" t="s">
        <v>323</v>
      </c>
      <c r="B15" s="421"/>
      <c r="C15" s="421"/>
      <c r="D15" s="421"/>
      <c r="E15" s="25"/>
    </row>
    <row r="16" spans="1:5" ht="69" customHeight="1" x14ac:dyDescent="0.25">
      <c r="A16" s="224" t="s">
        <v>121</v>
      </c>
      <c r="B16" s="11" t="s">
        <v>339</v>
      </c>
      <c r="C16" s="260" t="s">
        <v>370</v>
      </c>
      <c r="D16" s="222"/>
    </row>
    <row r="17" spans="1:4" ht="68.25" customHeight="1" x14ac:dyDescent="0.25">
      <c r="A17" s="26" t="s">
        <v>122</v>
      </c>
      <c r="B17" s="11" t="s">
        <v>340</v>
      </c>
      <c r="C17" s="260" t="s">
        <v>377</v>
      </c>
      <c r="D17" s="222"/>
    </row>
    <row r="18" spans="1:4" ht="127.5" customHeight="1" x14ac:dyDescent="0.25">
      <c r="A18" s="26" t="s">
        <v>124</v>
      </c>
      <c r="B18" s="11" t="s">
        <v>345</v>
      </c>
      <c r="C18" s="275" t="s">
        <v>372</v>
      </c>
      <c r="D18" s="275" t="s">
        <v>374</v>
      </c>
    </row>
    <row r="19" spans="1:4" ht="130.5" customHeight="1" x14ac:dyDescent="0.25">
      <c r="A19" s="26" t="s">
        <v>125</v>
      </c>
      <c r="B19" s="11" t="s">
        <v>346</v>
      </c>
      <c r="C19" s="275" t="s">
        <v>373</v>
      </c>
      <c r="D19" s="275" t="s">
        <v>374</v>
      </c>
    </row>
    <row r="20" spans="1:4" ht="147.75" customHeight="1" x14ac:dyDescent="0.25">
      <c r="A20" s="224" t="s">
        <v>126</v>
      </c>
      <c r="B20" s="11" t="s">
        <v>341</v>
      </c>
      <c r="C20" s="222" t="s">
        <v>155</v>
      </c>
      <c r="D20" s="275" t="s">
        <v>374</v>
      </c>
    </row>
    <row r="21" spans="1:4" ht="144" customHeight="1" x14ac:dyDescent="0.25">
      <c r="A21" s="26" t="s">
        <v>318</v>
      </c>
      <c r="B21" s="11" t="s">
        <v>347</v>
      </c>
      <c r="C21" s="222" t="s">
        <v>156</v>
      </c>
      <c r="D21" s="275" t="s">
        <v>374</v>
      </c>
    </row>
    <row r="22" spans="1:4" ht="39" customHeight="1" x14ac:dyDescent="0.25">
      <c r="A22" s="252" t="s">
        <v>319</v>
      </c>
      <c r="B22" s="253" t="s">
        <v>348</v>
      </c>
      <c r="C22" s="254" t="s">
        <v>366</v>
      </c>
      <c r="D22" s="224"/>
    </row>
    <row r="23" spans="1:4" ht="132" customHeight="1" x14ac:dyDescent="0.25">
      <c r="A23" s="26" t="s">
        <v>321</v>
      </c>
      <c r="B23" s="11" t="s">
        <v>349</v>
      </c>
      <c r="C23" s="275" t="s">
        <v>369</v>
      </c>
      <c r="D23" s="275" t="s">
        <v>374</v>
      </c>
    </row>
    <row r="24" spans="1:4" s="2" customFormat="1" x14ac:dyDescent="0.25">
      <c r="A24" s="421" t="s">
        <v>153</v>
      </c>
      <c r="B24" s="421"/>
      <c r="C24" s="421"/>
      <c r="D24" s="421"/>
    </row>
    <row r="25" spans="1:4" s="2" customFormat="1" ht="18" customHeight="1" x14ac:dyDescent="0.25">
      <c r="A25" s="421" t="s">
        <v>324</v>
      </c>
      <c r="B25" s="421"/>
      <c r="C25" s="421"/>
      <c r="D25" s="421"/>
    </row>
    <row r="26" spans="1:4" ht="75" x14ac:dyDescent="0.25">
      <c r="A26" s="26" t="s">
        <v>129</v>
      </c>
      <c r="B26" s="11" t="s">
        <v>350</v>
      </c>
      <c r="C26" s="275" t="s">
        <v>367</v>
      </c>
      <c r="D26" s="24"/>
    </row>
    <row r="27" spans="1:4" ht="75" x14ac:dyDescent="0.25">
      <c r="A27" s="225" t="s">
        <v>130</v>
      </c>
      <c r="B27" s="11" t="s">
        <v>351</v>
      </c>
      <c r="C27" s="254" t="s">
        <v>368</v>
      </c>
      <c r="D27" s="24"/>
    </row>
  </sheetData>
  <mergeCells count="8">
    <mergeCell ref="A3:D3"/>
    <mergeCell ref="A8:D8"/>
    <mergeCell ref="A9:D9"/>
    <mergeCell ref="A24:D24"/>
    <mergeCell ref="A25:D25"/>
    <mergeCell ref="A15:D15"/>
    <mergeCell ref="A14:D14"/>
    <mergeCell ref="A10:D10"/>
  </mergeCells>
  <pageMargins left="0.70866141732283472" right="0.70866141732283472"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W40"/>
  <sheetViews>
    <sheetView zoomScale="80" zoomScaleNormal="80" workbookViewId="0">
      <selection activeCell="H22" sqref="H22:K22"/>
    </sheetView>
  </sheetViews>
  <sheetFormatPr defaultRowHeight="15" x14ac:dyDescent="0.25"/>
  <cols>
    <col min="1" max="1" width="6.42578125" customWidth="1"/>
    <col min="2" max="2" width="14.7109375" customWidth="1"/>
    <col min="3" max="3" width="15.7109375" customWidth="1"/>
    <col min="4" max="4" width="15" customWidth="1"/>
    <col min="5" max="5" width="19.5703125" customWidth="1"/>
    <col min="6" max="6" width="18" customWidth="1"/>
    <col min="7" max="7" width="26.7109375" customWidth="1"/>
    <col min="8" max="8" width="17.7109375" customWidth="1"/>
    <col min="9" max="11" width="19.42578125" customWidth="1"/>
    <col min="12" max="12" width="17.42578125" customWidth="1"/>
    <col min="13" max="13" width="14.85546875" customWidth="1"/>
    <col min="14" max="14" width="16.42578125" customWidth="1"/>
  </cols>
  <sheetData>
    <row r="1" spans="1:23" x14ac:dyDescent="0.25">
      <c r="M1" s="12" t="s">
        <v>70</v>
      </c>
    </row>
    <row r="2" spans="1:23" x14ac:dyDescent="0.25">
      <c r="A2" s="6"/>
    </row>
    <row r="3" spans="1:23" ht="51" customHeight="1" x14ac:dyDescent="0.25">
      <c r="A3" s="437" t="s">
        <v>312</v>
      </c>
      <c r="B3" s="437"/>
      <c r="C3" s="437"/>
      <c r="D3" s="437"/>
      <c r="E3" s="437"/>
      <c r="F3" s="437"/>
      <c r="G3" s="437"/>
      <c r="H3" s="437"/>
      <c r="I3" s="437"/>
      <c r="J3" s="437"/>
      <c r="K3" s="437"/>
      <c r="L3" s="437"/>
      <c r="M3" s="437"/>
    </row>
    <row r="4" spans="1:23" x14ac:dyDescent="0.25">
      <c r="A4" s="3"/>
    </row>
    <row r="5" spans="1:23" ht="58.5" customHeight="1" x14ac:dyDescent="0.25">
      <c r="A5" s="438" t="s">
        <v>71</v>
      </c>
      <c r="B5" s="438" t="s">
        <v>72</v>
      </c>
      <c r="C5" s="438" t="s">
        <v>69</v>
      </c>
      <c r="D5" s="438" t="s">
        <v>73</v>
      </c>
      <c r="E5" s="438" t="s">
        <v>74</v>
      </c>
      <c r="F5" s="438" t="s">
        <v>311</v>
      </c>
      <c r="G5" s="438" t="s">
        <v>75</v>
      </c>
      <c r="H5" s="434" t="s">
        <v>76</v>
      </c>
      <c r="I5" s="435"/>
      <c r="J5" s="435"/>
      <c r="K5" s="436"/>
      <c r="L5" s="438" t="s">
        <v>77</v>
      </c>
      <c r="M5" s="438" t="s">
        <v>78</v>
      </c>
    </row>
    <row r="6" spans="1:23" x14ac:dyDescent="0.25">
      <c r="A6" s="438"/>
      <c r="B6" s="438"/>
      <c r="C6" s="438"/>
      <c r="D6" s="438"/>
      <c r="E6" s="438"/>
      <c r="F6" s="438"/>
      <c r="G6" s="438"/>
      <c r="H6" s="439" t="s">
        <v>12</v>
      </c>
      <c r="I6" s="438"/>
      <c r="J6" s="438"/>
      <c r="K6" s="122"/>
      <c r="L6" s="438"/>
      <c r="M6" s="438"/>
    </row>
    <row r="7" spans="1:23" ht="60" customHeight="1" x14ac:dyDescent="0.25">
      <c r="A7" s="438"/>
      <c r="B7" s="438"/>
      <c r="C7" s="438"/>
      <c r="D7" s="438"/>
      <c r="E7" s="438"/>
      <c r="F7" s="438"/>
      <c r="G7" s="438"/>
      <c r="H7" s="440"/>
      <c r="I7" s="76" t="s">
        <v>118</v>
      </c>
      <c r="J7" s="76" t="s">
        <v>119</v>
      </c>
      <c r="K7" s="121" t="s">
        <v>294</v>
      </c>
      <c r="L7" s="438"/>
      <c r="M7" s="438"/>
    </row>
    <row r="8" spans="1:23" x14ac:dyDescent="0.25">
      <c r="A8" s="216">
        <v>1</v>
      </c>
      <c r="B8" s="10">
        <v>2</v>
      </c>
      <c r="C8" s="10">
        <v>3</v>
      </c>
      <c r="D8" s="10">
        <v>4</v>
      </c>
      <c r="E8" s="10">
        <v>5</v>
      </c>
      <c r="F8" s="10">
        <v>6</v>
      </c>
      <c r="G8" s="263">
        <v>7</v>
      </c>
      <c r="H8" s="263">
        <v>8</v>
      </c>
      <c r="I8" s="263">
        <v>9</v>
      </c>
      <c r="J8" s="263">
        <v>10</v>
      </c>
      <c r="K8" s="263">
        <v>11</v>
      </c>
      <c r="L8" s="263">
        <v>12</v>
      </c>
      <c r="M8" s="263">
        <v>13</v>
      </c>
    </row>
    <row r="9" spans="1:23" ht="30.75" customHeight="1" x14ac:dyDescent="0.25">
      <c r="A9" s="423" t="s">
        <v>181</v>
      </c>
      <c r="B9" s="423" t="s">
        <v>308</v>
      </c>
      <c r="C9" s="423" t="s">
        <v>214</v>
      </c>
      <c r="D9" s="426" t="str">
        <f>'Таблица 5'!E7</f>
        <v>2023-2025 годы</v>
      </c>
      <c r="E9" s="429">
        <f>H9</f>
        <v>618556.89977000002</v>
      </c>
      <c r="F9" s="429">
        <f>E9</f>
        <v>618556.89977000002</v>
      </c>
      <c r="G9" s="266" t="s">
        <v>12</v>
      </c>
      <c r="H9" s="267">
        <f>SUM(I9:K9)</f>
        <v>618556.89977000002</v>
      </c>
      <c r="I9" s="270">
        <f>SUM(I10:I15)</f>
        <v>618556.89977000002</v>
      </c>
      <c r="J9" s="273" t="s">
        <v>213</v>
      </c>
      <c r="K9" s="273" t="s">
        <v>213</v>
      </c>
      <c r="L9" s="423" t="s">
        <v>189</v>
      </c>
      <c r="M9" s="423" t="s">
        <v>128</v>
      </c>
    </row>
    <row r="10" spans="1:23" ht="30.75" customHeight="1" x14ac:dyDescent="0.25">
      <c r="A10" s="424"/>
      <c r="B10" s="424"/>
      <c r="C10" s="424"/>
      <c r="D10" s="427"/>
      <c r="E10" s="430"/>
      <c r="F10" s="430"/>
      <c r="G10" s="99" t="s">
        <v>13</v>
      </c>
      <c r="H10" s="273" t="s">
        <v>213</v>
      </c>
      <c r="I10" s="273" t="s">
        <v>213</v>
      </c>
      <c r="J10" s="273" t="s">
        <v>213</v>
      </c>
      <c r="K10" s="273" t="s">
        <v>213</v>
      </c>
      <c r="L10" s="424"/>
      <c r="M10" s="424"/>
    </row>
    <row r="11" spans="1:23" ht="30.75" customHeight="1" x14ac:dyDescent="0.25">
      <c r="A11" s="424"/>
      <c r="B11" s="424"/>
      <c r="C11" s="424"/>
      <c r="D11" s="427"/>
      <c r="E11" s="430"/>
      <c r="F11" s="430"/>
      <c r="G11" s="99" t="s">
        <v>14</v>
      </c>
      <c r="H11" s="273" t="s">
        <v>213</v>
      </c>
      <c r="I11" s="273" t="s">
        <v>213</v>
      </c>
      <c r="J11" s="273" t="s">
        <v>213</v>
      </c>
      <c r="K11" s="273" t="s">
        <v>213</v>
      </c>
      <c r="L11" s="424"/>
      <c r="M11" s="424"/>
    </row>
    <row r="12" spans="1:23" ht="30.75" customHeight="1" x14ac:dyDescent="0.45">
      <c r="A12" s="424"/>
      <c r="B12" s="424"/>
      <c r="C12" s="424"/>
      <c r="D12" s="427"/>
      <c r="E12" s="430"/>
      <c r="F12" s="430"/>
      <c r="G12" s="99" t="s">
        <v>15</v>
      </c>
      <c r="H12" s="273" t="s">
        <v>213</v>
      </c>
      <c r="I12" s="273" t="s">
        <v>213</v>
      </c>
      <c r="J12" s="273" t="s">
        <v>213</v>
      </c>
      <c r="K12" s="273" t="s">
        <v>213</v>
      </c>
      <c r="L12" s="424"/>
      <c r="M12" s="424"/>
      <c r="N12" s="257"/>
      <c r="O12" s="258"/>
      <c r="P12" s="258"/>
      <c r="Q12" s="258"/>
      <c r="R12" s="258"/>
      <c r="S12" s="259"/>
      <c r="T12" s="259"/>
      <c r="U12" s="259"/>
      <c r="V12" s="259"/>
      <c r="W12" s="259"/>
    </row>
    <row r="13" spans="1:23" ht="30.75" customHeight="1" x14ac:dyDescent="0.25">
      <c r="A13" s="424"/>
      <c r="B13" s="424"/>
      <c r="C13" s="424"/>
      <c r="D13" s="427"/>
      <c r="E13" s="430"/>
      <c r="F13" s="430"/>
      <c r="G13" s="99" t="s">
        <v>206</v>
      </c>
      <c r="H13" s="273" t="s">
        <v>213</v>
      </c>
      <c r="I13" s="273" t="s">
        <v>213</v>
      </c>
      <c r="J13" s="273" t="s">
        <v>213</v>
      </c>
      <c r="K13" s="273" t="s">
        <v>213</v>
      </c>
      <c r="L13" s="424"/>
      <c r="M13" s="424"/>
    </row>
    <row r="14" spans="1:23" ht="30.75" customHeight="1" x14ac:dyDescent="0.25">
      <c r="A14" s="424"/>
      <c r="B14" s="424"/>
      <c r="C14" s="424"/>
      <c r="D14" s="427"/>
      <c r="E14" s="430"/>
      <c r="F14" s="430"/>
      <c r="G14" s="99" t="s">
        <v>102</v>
      </c>
      <c r="H14" s="273" t="s">
        <v>213</v>
      </c>
      <c r="I14" s="273" t="s">
        <v>213</v>
      </c>
      <c r="J14" s="273" t="s">
        <v>213</v>
      </c>
      <c r="K14" s="273" t="s">
        <v>213</v>
      </c>
      <c r="L14" s="424"/>
      <c r="M14" s="424"/>
    </row>
    <row r="15" spans="1:23" ht="30.75" customHeight="1" x14ac:dyDescent="0.25">
      <c r="A15" s="425"/>
      <c r="B15" s="425"/>
      <c r="C15" s="425"/>
      <c r="D15" s="428"/>
      <c r="E15" s="431"/>
      <c r="F15" s="431"/>
      <c r="G15" s="99" t="s">
        <v>207</v>
      </c>
      <c r="H15" s="269">
        <f t="shared" ref="H15" si="0">SUM(I15:K15)</f>
        <v>618556.89977000002</v>
      </c>
      <c r="I15" s="270">
        <v>618556.89977000002</v>
      </c>
      <c r="J15" s="273" t="s">
        <v>213</v>
      </c>
      <c r="K15" s="273" t="s">
        <v>213</v>
      </c>
      <c r="L15" s="425"/>
      <c r="M15" s="425"/>
    </row>
    <row r="16" spans="1:23" ht="30.75" customHeight="1" x14ac:dyDescent="0.25">
      <c r="A16" s="423" t="s">
        <v>182</v>
      </c>
      <c r="B16" s="423" t="s">
        <v>159</v>
      </c>
      <c r="C16" s="423" t="s">
        <v>190</v>
      </c>
      <c r="D16" s="426" t="str">
        <f>'Таблица 5'!E8</f>
        <v>2024-2026 годы</v>
      </c>
      <c r="E16" s="426">
        <f>H16</f>
        <v>202054.31140999999</v>
      </c>
      <c r="F16" s="429">
        <f>E16</f>
        <v>202054.31140999999</v>
      </c>
      <c r="G16" s="266" t="s">
        <v>12</v>
      </c>
      <c r="H16" s="271">
        <f>SUM(I16:K16)</f>
        <v>202054.31140999999</v>
      </c>
      <c r="I16" s="273" t="s">
        <v>213</v>
      </c>
      <c r="J16" s="270">
        <f>SUM(J17:J22)</f>
        <v>17256.996040000002</v>
      </c>
      <c r="K16" s="270">
        <f>SUM(K17:K22)</f>
        <v>184797.31537</v>
      </c>
      <c r="L16" s="423" t="s">
        <v>189</v>
      </c>
      <c r="M16" s="423" t="s">
        <v>8</v>
      </c>
    </row>
    <row r="17" spans="1:13" ht="30.75" customHeight="1" x14ac:dyDescent="0.25">
      <c r="A17" s="424"/>
      <c r="B17" s="424"/>
      <c r="C17" s="424"/>
      <c r="D17" s="427"/>
      <c r="E17" s="427"/>
      <c r="F17" s="430"/>
      <c r="G17" s="99" t="s">
        <v>13</v>
      </c>
      <c r="H17" s="273" t="s">
        <v>213</v>
      </c>
      <c r="I17" s="273" t="s">
        <v>213</v>
      </c>
      <c r="J17" s="273" t="s">
        <v>213</v>
      </c>
      <c r="K17" s="273" t="s">
        <v>213</v>
      </c>
      <c r="L17" s="424"/>
      <c r="M17" s="424"/>
    </row>
    <row r="18" spans="1:13" ht="30.75" customHeight="1" x14ac:dyDescent="0.25">
      <c r="A18" s="424"/>
      <c r="B18" s="424"/>
      <c r="C18" s="424"/>
      <c r="D18" s="427"/>
      <c r="E18" s="427"/>
      <c r="F18" s="430"/>
      <c r="G18" s="99" t="s">
        <v>14</v>
      </c>
      <c r="H18" s="273" t="s">
        <v>213</v>
      </c>
      <c r="I18" s="273" t="s">
        <v>213</v>
      </c>
      <c r="J18" s="273" t="s">
        <v>213</v>
      </c>
      <c r="K18" s="273" t="s">
        <v>213</v>
      </c>
      <c r="L18" s="424"/>
      <c r="M18" s="424"/>
    </row>
    <row r="19" spans="1:13" ht="30.75" customHeight="1" x14ac:dyDescent="0.25">
      <c r="A19" s="424"/>
      <c r="B19" s="424"/>
      <c r="C19" s="424"/>
      <c r="D19" s="427"/>
      <c r="E19" s="427"/>
      <c r="F19" s="430"/>
      <c r="G19" s="99" t="s">
        <v>15</v>
      </c>
      <c r="H19" s="273" t="s">
        <v>213</v>
      </c>
      <c r="I19" s="273" t="s">
        <v>213</v>
      </c>
      <c r="J19" s="273" t="s">
        <v>213</v>
      </c>
      <c r="K19" s="273" t="s">
        <v>213</v>
      </c>
      <c r="L19" s="424"/>
      <c r="M19" s="424"/>
    </row>
    <row r="20" spans="1:13" ht="30.75" customHeight="1" x14ac:dyDescent="0.25">
      <c r="A20" s="424"/>
      <c r="B20" s="424"/>
      <c r="C20" s="424"/>
      <c r="D20" s="427"/>
      <c r="E20" s="427"/>
      <c r="F20" s="430"/>
      <c r="G20" s="99" t="s">
        <v>206</v>
      </c>
      <c r="H20" s="273" t="s">
        <v>213</v>
      </c>
      <c r="I20" s="273" t="s">
        <v>213</v>
      </c>
      <c r="J20" s="273" t="s">
        <v>213</v>
      </c>
      <c r="K20" s="273" t="s">
        <v>213</v>
      </c>
      <c r="L20" s="424"/>
      <c r="M20" s="424"/>
    </row>
    <row r="21" spans="1:13" ht="30.75" customHeight="1" x14ac:dyDescent="0.25">
      <c r="A21" s="424"/>
      <c r="B21" s="424"/>
      <c r="C21" s="424"/>
      <c r="D21" s="427"/>
      <c r="E21" s="427"/>
      <c r="F21" s="430"/>
      <c r="G21" s="99" t="s">
        <v>102</v>
      </c>
      <c r="H21" s="273" t="s">
        <v>213</v>
      </c>
      <c r="I21" s="273" t="s">
        <v>213</v>
      </c>
      <c r="J21" s="273" t="s">
        <v>213</v>
      </c>
      <c r="K21" s="274" t="s">
        <v>213</v>
      </c>
      <c r="L21" s="424"/>
      <c r="M21" s="424"/>
    </row>
    <row r="22" spans="1:13" ht="26.25" customHeight="1" x14ac:dyDescent="0.25">
      <c r="A22" s="425"/>
      <c r="B22" s="425"/>
      <c r="C22" s="425"/>
      <c r="D22" s="428"/>
      <c r="E22" s="428"/>
      <c r="F22" s="431"/>
      <c r="G22" s="99" t="s">
        <v>207</v>
      </c>
      <c r="H22" s="269">
        <f>SUM(I22:K22)</f>
        <v>202054.31140999999</v>
      </c>
      <c r="I22" s="273" t="s">
        <v>213</v>
      </c>
      <c r="J22" s="270">
        <v>17256.996040000002</v>
      </c>
      <c r="K22" s="273">
        <v>184797.31537</v>
      </c>
      <c r="L22" s="425"/>
      <c r="M22" s="425"/>
    </row>
    <row r="23" spans="1:13" hidden="1" x14ac:dyDescent="0.25">
      <c r="A23" s="423"/>
      <c r="B23" s="426"/>
      <c r="C23" s="423">
        <v>0</v>
      </c>
      <c r="D23" s="423"/>
      <c r="E23" s="423">
        <v>0</v>
      </c>
      <c r="F23" s="423">
        <v>0</v>
      </c>
      <c r="G23" s="217" t="s">
        <v>12</v>
      </c>
      <c r="H23" s="218">
        <f t="shared" ref="H23:H36" si="1">SUM(I23:K23)</f>
        <v>0</v>
      </c>
      <c r="I23" s="218">
        <f t="shared" ref="I23" si="2">SUM(I24:I29)</f>
        <v>0</v>
      </c>
      <c r="J23" s="218">
        <f t="shared" ref="J23:K23" si="3">SUM(J24:J29)</f>
        <v>0</v>
      </c>
      <c r="K23" s="218">
        <f t="shared" si="3"/>
        <v>0</v>
      </c>
      <c r="L23" s="423">
        <v>0</v>
      </c>
      <c r="M23" s="423">
        <v>0</v>
      </c>
    </row>
    <row r="24" spans="1:13" hidden="1" x14ac:dyDescent="0.25">
      <c r="A24" s="424"/>
      <c r="B24" s="427"/>
      <c r="C24" s="424"/>
      <c r="D24" s="424"/>
      <c r="E24" s="424"/>
      <c r="F24" s="424"/>
      <c r="G24" s="99" t="s">
        <v>13</v>
      </c>
      <c r="H24" s="219">
        <f t="shared" si="1"/>
        <v>0</v>
      </c>
      <c r="I24" s="220">
        <v>0</v>
      </c>
      <c r="J24" s="220">
        <v>0</v>
      </c>
      <c r="K24" s="220">
        <v>0</v>
      </c>
      <c r="L24" s="424"/>
      <c r="M24" s="424"/>
    </row>
    <row r="25" spans="1:13" ht="30" hidden="1" x14ac:dyDescent="0.25">
      <c r="A25" s="424"/>
      <c r="B25" s="427"/>
      <c r="C25" s="424"/>
      <c r="D25" s="424"/>
      <c r="E25" s="424"/>
      <c r="F25" s="424"/>
      <c r="G25" s="99" t="s">
        <v>14</v>
      </c>
      <c r="H25" s="219">
        <f t="shared" si="1"/>
        <v>0</v>
      </c>
      <c r="I25" s="220">
        <v>0</v>
      </c>
      <c r="J25" s="220">
        <v>0</v>
      </c>
      <c r="K25" s="220">
        <v>0</v>
      </c>
      <c r="L25" s="424"/>
      <c r="M25" s="424"/>
    </row>
    <row r="26" spans="1:13" hidden="1" x14ac:dyDescent="0.25">
      <c r="A26" s="424"/>
      <c r="B26" s="427"/>
      <c r="C26" s="424"/>
      <c r="D26" s="424"/>
      <c r="E26" s="424"/>
      <c r="F26" s="424"/>
      <c r="G26" s="99" t="s">
        <v>15</v>
      </c>
      <c r="H26" s="219">
        <f t="shared" si="1"/>
        <v>0</v>
      </c>
      <c r="I26" s="221">
        <v>0</v>
      </c>
      <c r="J26" s="221">
        <v>0</v>
      </c>
      <c r="K26" s="221">
        <v>0</v>
      </c>
      <c r="L26" s="424"/>
      <c r="M26" s="424"/>
    </row>
    <row r="27" spans="1:13" ht="30" hidden="1" x14ac:dyDescent="0.25">
      <c r="A27" s="424"/>
      <c r="B27" s="427"/>
      <c r="C27" s="424"/>
      <c r="D27" s="424"/>
      <c r="E27" s="424"/>
      <c r="F27" s="424"/>
      <c r="G27" s="99" t="s">
        <v>206</v>
      </c>
      <c r="H27" s="219">
        <f t="shared" si="1"/>
        <v>0</v>
      </c>
      <c r="I27" s="220">
        <v>0</v>
      </c>
      <c r="J27" s="220">
        <v>0</v>
      </c>
      <c r="K27" s="220">
        <v>0</v>
      </c>
      <c r="L27" s="424"/>
      <c r="M27" s="424"/>
    </row>
    <row r="28" spans="1:13" hidden="1" x14ac:dyDescent="0.25">
      <c r="A28" s="424"/>
      <c r="B28" s="427"/>
      <c r="C28" s="424"/>
      <c r="D28" s="424"/>
      <c r="E28" s="424"/>
      <c r="F28" s="424"/>
      <c r="G28" s="99" t="s">
        <v>102</v>
      </c>
      <c r="H28" s="219">
        <f t="shared" si="1"/>
        <v>0</v>
      </c>
      <c r="I28" s="220">
        <v>0</v>
      </c>
      <c r="J28" s="220">
        <v>0</v>
      </c>
      <c r="K28" s="220">
        <v>0</v>
      </c>
      <c r="L28" s="424"/>
      <c r="M28" s="424"/>
    </row>
    <row r="29" spans="1:13" hidden="1" x14ac:dyDescent="0.25">
      <c r="A29" s="425"/>
      <c r="B29" s="428"/>
      <c r="C29" s="425"/>
      <c r="D29" s="425"/>
      <c r="E29" s="425"/>
      <c r="F29" s="425"/>
      <c r="G29" s="99" t="s">
        <v>207</v>
      </c>
      <c r="H29" s="219">
        <f t="shared" si="1"/>
        <v>0</v>
      </c>
      <c r="I29" s="220">
        <v>0</v>
      </c>
      <c r="J29" s="220">
        <v>0</v>
      </c>
      <c r="K29" s="220">
        <v>0</v>
      </c>
      <c r="L29" s="425"/>
      <c r="M29" s="425"/>
    </row>
    <row r="30" spans="1:13" ht="30.75" customHeight="1" x14ac:dyDescent="0.25">
      <c r="A30" s="432" t="s">
        <v>205</v>
      </c>
      <c r="B30" s="432"/>
      <c r="C30" s="432"/>
      <c r="D30" s="432"/>
      <c r="E30" s="432"/>
      <c r="F30" s="432"/>
      <c r="G30" s="99" t="s">
        <v>12</v>
      </c>
      <c r="H30" s="264">
        <f t="shared" si="1"/>
        <v>820611.21117999998</v>
      </c>
      <c r="I30" s="264">
        <f t="shared" ref="I30:J30" si="4">SUM(I31:I36)</f>
        <v>618556.89977000002</v>
      </c>
      <c r="J30" s="264">
        <f t="shared" si="4"/>
        <v>17256.996040000002</v>
      </c>
      <c r="K30" s="264">
        <f t="shared" ref="K30" si="5">SUM(K31:K36)</f>
        <v>184797.31537</v>
      </c>
      <c r="L30" s="433">
        <v>0</v>
      </c>
      <c r="M30" s="433">
        <v>0</v>
      </c>
    </row>
    <row r="31" spans="1:13" ht="22.5" customHeight="1" x14ac:dyDescent="0.25">
      <c r="A31" s="432"/>
      <c r="B31" s="432"/>
      <c r="C31" s="432"/>
      <c r="D31" s="432"/>
      <c r="E31" s="432"/>
      <c r="F31" s="432"/>
      <c r="G31" s="99" t="s">
        <v>13</v>
      </c>
      <c r="H31" s="264">
        <f t="shared" si="1"/>
        <v>0</v>
      </c>
      <c r="I31" s="264">
        <f t="shared" ref="I31:K31" si="6">SUM(I17,I10)</f>
        <v>0</v>
      </c>
      <c r="J31" s="264">
        <f t="shared" si="6"/>
        <v>0</v>
      </c>
      <c r="K31" s="264">
        <f t="shared" si="6"/>
        <v>0</v>
      </c>
      <c r="L31" s="433"/>
      <c r="M31" s="433"/>
    </row>
    <row r="32" spans="1:13" ht="29.25" customHeight="1" x14ac:dyDescent="0.25">
      <c r="A32" s="432"/>
      <c r="B32" s="432"/>
      <c r="C32" s="432"/>
      <c r="D32" s="432"/>
      <c r="E32" s="432"/>
      <c r="F32" s="432"/>
      <c r="G32" s="99" t="s">
        <v>14</v>
      </c>
      <c r="H32" s="264">
        <f t="shared" si="1"/>
        <v>0</v>
      </c>
      <c r="I32" s="264">
        <f t="shared" ref="I32:K32" si="7">SUM(I18,I11)</f>
        <v>0</v>
      </c>
      <c r="J32" s="264">
        <f t="shared" si="7"/>
        <v>0</v>
      </c>
      <c r="K32" s="264">
        <f t="shared" si="7"/>
        <v>0</v>
      </c>
      <c r="L32" s="433"/>
      <c r="M32" s="433"/>
    </row>
    <row r="33" spans="1:13" ht="22.5" customHeight="1" x14ac:dyDescent="0.25">
      <c r="A33" s="432"/>
      <c r="B33" s="432"/>
      <c r="C33" s="432"/>
      <c r="D33" s="432"/>
      <c r="E33" s="432"/>
      <c r="F33" s="432"/>
      <c r="G33" s="99" t="s">
        <v>15</v>
      </c>
      <c r="H33" s="264">
        <f t="shared" si="1"/>
        <v>0</v>
      </c>
      <c r="I33" s="264">
        <f t="shared" ref="I33:K33" si="8">SUM(I19,I12)</f>
        <v>0</v>
      </c>
      <c r="J33" s="264">
        <f t="shared" si="8"/>
        <v>0</v>
      </c>
      <c r="K33" s="264">
        <f t="shared" si="8"/>
        <v>0</v>
      </c>
      <c r="L33" s="433"/>
      <c r="M33" s="433"/>
    </row>
    <row r="34" spans="1:13" ht="30.75" customHeight="1" x14ac:dyDescent="0.25">
      <c r="A34" s="432"/>
      <c r="B34" s="432"/>
      <c r="C34" s="432"/>
      <c r="D34" s="432"/>
      <c r="E34" s="432"/>
      <c r="F34" s="432"/>
      <c r="G34" s="99" t="s">
        <v>206</v>
      </c>
      <c r="H34" s="264">
        <f t="shared" si="1"/>
        <v>0</v>
      </c>
      <c r="I34" s="264">
        <f t="shared" ref="I34:K34" si="9">SUM(I20,I13)</f>
        <v>0</v>
      </c>
      <c r="J34" s="264">
        <f t="shared" si="9"/>
        <v>0</v>
      </c>
      <c r="K34" s="264">
        <f t="shared" si="9"/>
        <v>0</v>
      </c>
      <c r="L34" s="433"/>
      <c r="M34" s="433"/>
    </row>
    <row r="35" spans="1:13" ht="30.75" customHeight="1" x14ac:dyDescent="0.25">
      <c r="A35" s="432"/>
      <c r="B35" s="432"/>
      <c r="C35" s="432"/>
      <c r="D35" s="432"/>
      <c r="E35" s="432"/>
      <c r="F35" s="432"/>
      <c r="G35" s="99" t="s">
        <v>102</v>
      </c>
      <c r="H35" s="264">
        <f t="shared" si="1"/>
        <v>0</v>
      </c>
      <c r="I35" s="264">
        <f t="shared" ref="I35:K35" si="10">SUM(I21,I14)</f>
        <v>0</v>
      </c>
      <c r="J35" s="264">
        <f t="shared" si="10"/>
        <v>0</v>
      </c>
      <c r="K35" s="264">
        <f t="shared" si="10"/>
        <v>0</v>
      </c>
      <c r="L35" s="433"/>
      <c r="M35" s="433"/>
    </row>
    <row r="36" spans="1:13" ht="24" customHeight="1" x14ac:dyDescent="0.25">
      <c r="A36" s="432"/>
      <c r="B36" s="432"/>
      <c r="C36" s="432"/>
      <c r="D36" s="432"/>
      <c r="E36" s="432"/>
      <c r="F36" s="432"/>
      <c r="G36" s="99" t="s">
        <v>207</v>
      </c>
      <c r="H36" s="264">
        <f t="shared" si="1"/>
        <v>820611.21117999998</v>
      </c>
      <c r="I36" s="264">
        <f>SUM(I22,I15)</f>
        <v>618556.89977000002</v>
      </c>
      <c r="J36" s="264">
        <f t="shared" ref="J36:K36" si="11">SUM(J22,J15)</f>
        <v>17256.996040000002</v>
      </c>
      <c r="K36" s="264">
        <f t="shared" si="11"/>
        <v>184797.31537</v>
      </c>
      <c r="L36" s="433"/>
      <c r="M36" s="433"/>
    </row>
    <row r="38" spans="1:13" ht="23.25" hidden="1" customHeight="1" x14ac:dyDescent="0.25">
      <c r="A38" s="422" t="s">
        <v>104</v>
      </c>
      <c r="B38" s="422"/>
      <c r="C38" s="422"/>
      <c r="D38" s="422"/>
      <c r="E38" s="422"/>
      <c r="F38" s="422"/>
      <c r="G38" s="422"/>
      <c r="H38" s="422"/>
      <c r="I38" s="422"/>
      <c r="J38" s="422"/>
      <c r="K38" s="422"/>
    </row>
    <row r="39" spans="1:13" ht="37.5" hidden="1" customHeight="1" x14ac:dyDescent="0.25">
      <c r="A39" s="422" t="s">
        <v>107</v>
      </c>
      <c r="B39" s="422"/>
      <c r="C39" s="422"/>
      <c r="D39" s="422"/>
      <c r="E39" s="422"/>
      <c r="F39" s="422"/>
      <c r="G39" s="422"/>
      <c r="H39" s="422"/>
      <c r="I39" s="422"/>
      <c r="J39" s="422"/>
      <c r="K39" s="422"/>
    </row>
    <row r="40" spans="1:13" x14ac:dyDescent="0.25">
      <c r="A40" s="68"/>
    </row>
  </sheetData>
  <mergeCells count="42">
    <mergeCell ref="H5:K5"/>
    <mergeCell ref="F9:F15"/>
    <mergeCell ref="L9:L15"/>
    <mergeCell ref="M9:M15"/>
    <mergeCell ref="A3:M3"/>
    <mergeCell ref="G5:G7"/>
    <mergeCell ref="L5:L7"/>
    <mergeCell ref="M5:M7"/>
    <mergeCell ref="H6:H7"/>
    <mergeCell ref="I6:J6"/>
    <mergeCell ref="A5:A7"/>
    <mergeCell ref="B5:B7"/>
    <mergeCell ref="C5:C7"/>
    <mergeCell ref="D5:D7"/>
    <mergeCell ref="E5:E7"/>
    <mergeCell ref="F5:F7"/>
    <mergeCell ref="A30:F36"/>
    <mergeCell ref="L30:L36"/>
    <mergeCell ref="M30:M36"/>
    <mergeCell ref="A16:A22"/>
    <mergeCell ref="B16:B22"/>
    <mergeCell ref="A9:A15"/>
    <mergeCell ref="B9:B15"/>
    <mergeCell ref="C9:C15"/>
    <mergeCell ref="D9:D15"/>
    <mergeCell ref="E9:E15"/>
    <mergeCell ref="A39:K39"/>
    <mergeCell ref="A38:K38"/>
    <mergeCell ref="L16:L22"/>
    <mergeCell ref="M16:M22"/>
    <mergeCell ref="L23:L29"/>
    <mergeCell ref="M23:M29"/>
    <mergeCell ref="C16:C22"/>
    <mergeCell ref="D16:D22"/>
    <mergeCell ref="E16:E22"/>
    <mergeCell ref="F16:F22"/>
    <mergeCell ref="A23:A29"/>
    <mergeCell ref="B23:B29"/>
    <mergeCell ref="C23:C29"/>
    <mergeCell ref="D23:D29"/>
    <mergeCell ref="E23:E29"/>
    <mergeCell ref="F23:F29"/>
  </mergeCells>
  <pageMargins left="0.70866141732283472" right="0.70866141732283472" top="0.74803149606299213" bottom="0.74803149606299213" header="0.31496062992125984" footer="0.31496062992125984"/>
  <pageSetup paperSize="9" scale="55"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workbookViewId="0">
      <selection activeCell="E13" sqref="E13"/>
    </sheetView>
  </sheetViews>
  <sheetFormatPr defaultColWidth="9.140625" defaultRowHeight="15" x14ac:dyDescent="0.25"/>
  <cols>
    <col min="1" max="1" width="9.140625" style="16"/>
    <col min="2" max="2" width="17.42578125" style="16" customWidth="1"/>
    <col min="3" max="3" width="12.85546875" style="16" customWidth="1"/>
    <col min="4" max="4" width="13.28515625" style="16" customWidth="1"/>
    <col min="5" max="5" width="16" style="16" customWidth="1"/>
    <col min="6" max="6" width="15.85546875" style="16" customWidth="1"/>
    <col min="7" max="7" width="22.85546875" style="16" customWidth="1"/>
    <col min="8" max="16384" width="9.140625" style="16"/>
  </cols>
  <sheetData>
    <row r="1" spans="1:7" x14ac:dyDescent="0.25">
      <c r="G1" s="17" t="s">
        <v>62</v>
      </c>
    </row>
    <row r="2" spans="1:7" x14ac:dyDescent="0.25">
      <c r="A2" s="17"/>
    </row>
    <row r="3" spans="1:7" x14ac:dyDescent="0.25">
      <c r="A3" s="441" t="s">
        <v>63</v>
      </c>
      <c r="B3" s="441"/>
      <c r="C3" s="441"/>
      <c r="D3" s="441"/>
      <c r="E3" s="441"/>
      <c r="F3" s="441"/>
      <c r="G3" s="441"/>
    </row>
    <row r="4" spans="1:7" x14ac:dyDescent="0.25">
      <c r="A4" s="17"/>
    </row>
    <row r="5" spans="1:7" ht="75" x14ac:dyDescent="0.25">
      <c r="A5" s="10" t="s">
        <v>5</v>
      </c>
      <c r="B5" s="10" t="s">
        <v>64</v>
      </c>
      <c r="C5" s="10" t="s">
        <v>69</v>
      </c>
      <c r="D5" s="10" t="s">
        <v>65</v>
      </c>
      <c r="E5" s="10" t="s">
        <v>66</v>
      </c>
      <c r="F5" s="10" t="s">
        <v>67</v>
      </c>
      <c r="G5" s="10" t="s">
        <v>68</v>
      </c>
    </row>
    <row r="6" spans="1:7" x14ac:dyDescent="0.25">
      <c r="A6" s="10">
        <v>1</v>
      </c>
      <c r="B6" s="10">
        <v>2</v>
      </c>
      <c r="C6" s="10">
        <v>3</v>
      </c>
      <c r="D6" s="10">
        <v>4</v>
      </c>
      <c r="E6" s="10">
        <v>5</v>
      </c>
      <c r="F6" s="10">
        <v>6</v>
      </c>
      <c r="G6" s="10">
        <v>7</v>
      </c>
    </row>
    <row r="7" spans="1:7" ht="125.25" customHeight="1" x14ac:dyDescent="0.25">
      <c r="A7" s="10">
        <v>1</v>
      </c>
      <c r="B7" s="26" t="s">
        <v>317</v>
      </c>
      <c r="C7" s="26">
        <v>400</v>
      </c>
      <c r="D7" s="26" t="s">
        <v>157</v>
      </c>
      <c r="E7" s="26" t="s">
        <v>342</v>
      </c>
      <c r="F7" s="26" t="s">
        <v>158</v>
      </c>
      <c r="G7" s="27" t="s">
        <v>309</v>
      </c>
    </row>
    <row r="8" spans="1:7" ht="120" x14ac:dyDescent="0.25">
      <c r="A8" s="10">
        <v>2</v>
      </c>
      <c r="B8" s="26" t="s">
        <v>159</v>
      </c>
      <c r="C8" s="280" t="s">
        <v>381</v>
      </c>
      <c r="D8" s="26" t="s">
        <v>160</v>
      </c>
      <c r="E8" s="26" t="s">
        <v>291</v>
      </c>
      <c r="F8" s="26" t="s">
        <v>158</v>
      </c>
      <c r="G8" s="27" t="s">
        <v>310</v>
      </c>
    </row>
  </sheetData>
  <mergeCells count="1">
    <mergeCell ref="A3:G3"/>
  </mergeCells>
  <pageMargins left="0.70866141732283472" right="0.70866141732283472" top="0.74803149606299213" bottom="0.74803149606299213"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D9"/>
  <sheetViews>
    <sheetView workbookViewId="0">
      <selection activeCell="D16" sqref="D16"/>
    </sheetView>
  </sheetViews>
  <sheetFormatPr defaultColWidth="9.140625" defaultRowHeight="15" x14ac:dyDescent="0.25"/>
  <cols>
    <col min="1" max="1" width="9.140625" style="5"/>
    <col min="2" max="2" width="27.42578125" style="14" customWidth="1"/>
    <col min="3" max="3" width="27.140625" style="14" customWidth="1"/>
    <col min="4" max="4" width="32.85546875" style="14" customWidth="1"/>
    <col min="5" max="16384" width="9.140625" style="14"/>
  </cols>
  <sheetData>
    <row r="1" spans="1:4" x14ac:dyDescent="0.25">
      <c r="D1" s="12" t="s">
        <v>57</v>
      </c>
    </row>
    <row r="2" spans="1:4" x14ac:dyDescent="0.25">
      <c r="A2" s="420"/>
      <c r="B2" s="420"/>
      <c r="C2" s="420"/>
      <c r="D2" s="420"/>
    </row>
    <row r="3" spans="1:4" ht="52.5" customHeight="1" x14ac:dyDescent="0.25">
      <c r="A3" s="441" t="s">
        <v>61</v>
      </c>
      <c r="B3" s="441"/>
      <c r="C3" s="441"/>
      <c r="D3" s="441"/>
    </row>
    <row r="4" spans="1:4" x14ac:dyDescent="0.25">
      <c r="A4" s="420"/>
      <c r="B4" s="420"/>
      <c r="C4" s="420"/>
      <c r="D4" s="420"/>
    </row>
    <row r="5" spans="1:4" x14ac:dyDescent="0.25">
      <c r="A5" s="9"/>
    </row>
    <row r="6" spans="1:4" ht="90" x14ac:dyDescent="0.25">
      <c r="A6" s="13" t="s">
        <v>5</v>
      </c>
      <c r="B6" s="13" t="s">
        <v>58</v>
      </c>
      <c r="C6" s="13" t="s">
        <v>60</v>
      </c>
      <c r="D6" s="13" t="s">
        <v>59</v>
      </c>
    </row>
    <row r="7" spans="1:4" x14ac:dyDescent="0.25">
      <c r="A7" s="15">
        <v>1</v>
      </c>
      <c r="B7" s="15">
        <v>2</v>
      </c>
      <c r="C7" s="15">
        <v>3</v>
      </c>
      <c r="D7" s="15">
        <v>4</v>
      </c>
    </row>
    <row r="8" spans="1:4" x14ac:dyDescent="0.25">
      <c r="A8" s="70">
        <v>0</v>
      </c>
      <c r="B8" s="70">
        <v>0</v>
      </c>
      <c r="C8" s="71">
        <v>0</v>
      </c>
      <c r="D8" s="70">
        <v>0</v>
      </c>
    </row>
    <row r="9" spans="1:4" x14ac:dyDescent="0.25">
      <c r="A9" s="9"/>
    </row>
  </sheetData>
  <mergeCells count="3">
    <mergeCell ref="A2:D2"/>
    <mergeCell ref="A3:D3"/>
    <mergeCell ref="A4:D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K10" sqref="K9:K10"/>
    </sheetView>
  </sheetViews>
  <sheetFormatPr defaultColWidth="9.140625" defaultRowHeight="15" x14ac:dyDescent="0.25"/>
  <cols>
    <col min="1" max="1" width="7.28515625" style="14" customWidth="1"/>
    <col min="2" max="2" width="18" style="14" customWidth="1"/>
    <col min="3" max="3" width="16.5703125" style="14" customWidth="1"/>
    <col min="4" max="4" width="12.85546875" style="14" customWidth="1"/>
    <col min="5" max="5" width="18.42578125" style="14" customWidth="1"/>
    <col min="6" max="7" width="9.140625" style="14"/>
    <col min="8" max="8" width="9.5703125" style="14" customWidth="1"/>
    <col min="9" max="9" width="9.140625" style="14"/>
    <col min="10" max="10" width="11.7109375" style="14" customWidth="1"/>
    <col min="11" max="16384" width="9.140625" style="14"/>
  </cols>
  <sheetData>
    <row r="1" spans="1:10" x14ac:dyDescent="0.25">
      <c r="J1" s="12" t="s">
        <v>109</v>
      </c>
    </row>
    <row r="2" spans="1:10" x14ac:dyDescent="0.25">
      <c r="A2" s="6"/>
    </row>
    <row r="3" spans="1:10" ht="36" customHeight="1" x14ac:dyDescent="0.25">
      <c r="A3" s="441" t="s">
        <v>343</v>
      </c>
      <c r="B3" s="441"/>
      <c r="C3" s="441"/>
      <c r="D3" s="441"/>
      <c r="E3" s="441"/>
      <c r="F3" s="441"/>
      <c r="G3" s="441"/>
      <c r="H3" s="441"/>
      <c r="I3" s="441"/>
      <c r="J3" s="441"/>
    </row>
    <row r="4" spans="1:10" x14ac:dyDescent="0.25">
      <c r="A4" s="6"/>
    </row>
    <row r="5" spans="1:10" x14ac:dyDescent="0.25">
      <c r="A5" s="3"/>
    </row>
    <row r="6" spans="1:10" ht="90" customHeight="1" x14ac:dyDescent="0.25">
      <c r="A6" s="438" t="s">
        <v>110</v>
      </c>
      <c r="B6" s="438" t="s">
        <v>111</v>
      </c>
      <c r="C6" s="438" t="s">
        <v>112</v>
      </c>
      <c r="D6" s="438" t="s">
        <v>113</v>
      </c>
      <c r="E6" s="438" t="s">
        <v>344</v>
      </c>
      <c r="F6" s="438" t="s">
        <v>114</v>
      </c>
      <c r="G6" s="438"/>
      <c r="H6" s="438"/>
      <c r="I6" s="438"/>
      <c r="J6" s="438"/>
    </row>
    <row r="7" spans="1:10" x14ac:dyDescent="0.25">
      <c r="A7" s="438"/>
      <c r="B7" s="438"/>
      <c r="C7" s="438"/>
      <c r="D7" s="438"/>
      <c r="E7" s="438"/>
      <c r="F7" s="256" t="s">
        <v>118</v>
      </c>
      <c r="G7" s="256" t="s">
        <v>119</v>
      </c>
      <c r="H7" s="256" t="s">
        <v>294</v>
      </c>
      <c r="I7" s="256" t="s">
        <v>295</v>
      </c>
      <c r="J7" s="255" t="s">
        <v>334</v>
      </c>
    </row>
    <row r="8" spans="1:10" x14ac:dyDescent="0.25">
      <c r="A8" s="10">
        <v>1</v>
      </c>
      <c r="B8" s="10" t="s">
        <v>54</v>
      </c>
      <c r="C8" s="10" t="s">
        <v>54</v>
      </c>
      <c r="D8" s="10"/>
      <c r="E8" s="421" t="s">
        <v>115</v>
      </c>
      <c r="F8" s="421"/>
      <c r="G8" s="421"/>
      <c r="H8" s="421"/>
      <c r="I8" s="10"/>
      <c r="J8" s="20"/>
    </row>
    <row r="9" spans="1:10" x14ac:dyDescent="0.25">
      <c r="A9" s="23">
        <v>0</v>
      </c>
      <c r="B9" s="23">
        <v>0</v>
      </c>
      <c r="C9" s="23">
        <v>0</v>
      </c>
      <c r="D9" s="23">
        <v>0</v>
      </c>
      <c r="E9" s="23">
        <v>0</v>
      </c>
      <c r="F9" s="23">
        <v>0</v>
      </c>
      <c r="G9" s="23">
        <v>0</v>
      </c>
      <c r="H9" s="23">
        <v>0</v>
      </c>
      <c r="I9" s="23">
        <v>0</v>
      </c>
      <c r="J9" s="23">
        <v>0</v>
      </c>
    </row>
    <row r="10" spans="1:10" x14ac:dyDescent="0.25">
      <c r="A10" s="10" t="s">
        <v>54</v>
      </c>
      <c r="B10" s="21"/>
      <c r="C10" s="21"/>
      <c r="D10" s="10" t="s">
        <v>54</v>
      </c>
      <c r="E10" s="421" t="s">
        <v>116</v>
      </c>
      <c r="F10" s="421"/>
      <c r="G10" s="421"/>
      <c r="H10" s="421"/>
      <c r="I10" s="10"/>
      <c r="J10" s="10"/>
    </row>
    <row r="11" spans="1:10" x14ac:dyDescent="0.25">
      <c r="A11" s="23">
        <v>0</v>
      </c>
      <c r="B11" s="23">
        <v>0</v>
      </c>
      <c r="C11" s="23">
        <v>0</v>
      </c>
      <c r="D11" s="23">
        <v>0</v>
      </c>
      <c r="E11" s="23">
        <v>0</v>
      </c>
      <c r="F11" s="23">
        <v>0</v>
      </c>
      <c r="G11" s="23">
        <v>0</v>
      </c>
      <c r="H11" s="23">
        <v>0</v>
      </c>
      <c r="I11" s="23">
        <v>0</v>
      </c>
      <c r="J11" s="23">
        <v>0</v>
      </c>
    </row>
  </sheetData>
  <mergeCells count="9">
    <mergeCell ref="E8:H8"/>
    <mergeCell ref="E10:H10"/>
    <mergeCell ref="A3:J3"/>
    <mergeCell ref="A6:A7"/>
    <mergeCell ref="B6:B7"/>
    <mergeCell ref="C6:C7"/>
    <mergeCell ref="D6:D7"/>
    <mergeCell ref="E6:E7"/>
    <mergeCell ref="F6:J6"/>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tabSelected="1" topLeftCell="A19" zoomScale="110" zoomScaleNormal="110" workbookViewId="0">
      <selection activeCell="H16" sqref="H16"/>
    </sheetView>
  </sheetViews>
  <sheetFormatPr defaultRowHeight="15" x14ac:dyDescent="0.25"/>
  <cols>
    <col min="2" max="2" width="45.5703125" customWidth="1"/>
    <col min="3" max="3" width="18.140625" customWidth="1"/>
    <col min="4" max="4" width="12" customWidth="1"/>
    <col min="5" max="5" width="12.7109375" customWidth="1"/>
    <col min="6" max="6" width="12.85546875" customWidth="1"/>
    <col min="7" max="7" width="11" customWidth="1"/>
    <col min="8" max="8" width="19.42578125" customWidth="1"/>
  </cols>
  <sheetData>
    <row r="1" spans="1:8" x14ac:dyDescent="0.25">
      <c r="H1" s="12" t="s">
        <v>49</v>
      </c>
    </row>
    <row r="2" spans="1:8" x14ac:dyDescent="0.25">
      <c r="A2" s="4"/>
    </row>
    <row r="3" spans="1:8" x14ac:dyDescent="0.25">
      <c r="A3" s="441" t="s">
        <v>50</v>
      </c>
      <c r="B3" s="441"/>
      <c r="C3" s="441"/>
      <c r="D3" s="441"/>
      <c r="E3" s="441"/>
      <c r="F3" s="441"/>
      <c r="G3" s="441"/>
      <c r="H3" s="441"/>
    </row>
    <row r="4" spans="1:8" x14ac:dyDescent="0.25">
      <c r="A4" s="3"/>
    </row>
    <row r="5" spans="1:8" x14ac:dyDescent="0.25">
      <c r="A5" s="3"/>
    </row>
    <row r="6" spans="1:8" x14ac:dyDescent="0.25">
      <c r="A6" s="438" t="s">
        <v>51</v>
      </c>
      <c r="B6" s="438" t="s">
        <v>202</v>
      </c>
      <c r="C6" s="438" t="s">
        <v>52</v>
      </c>
      <c r="D6" s="263"/>
      <c r="E6" s="438"/>
      <c r="F6" s="438"/>
      <c r="G6" s="262"/>
      <c r="H6" s="438" t="s">
        <v>53</v>
      </c>
    </row>
    <row r="7" spans="1:8" ht="91.5" customHeight="1" x14ac:dyDescent="0.25">
      <c r="A7" s="438"/>
      <c r="B7" s="438"/>
      <c r="C7" s="438"/>
      <c r="D7" s="263" t="s">
        <v>55</v>
      </c>
      <c r="E7" s="263" t="s">
        <v>56</v>
      </c>
      <c r="F7" s="263" t="s">
        <v>305</v>
      </c>
      <c r="G7" s="263" t="s">
        <v>306</v>
      </c>
      <c r="H7" s="438"/>
    </row>
    <row r="8" spans="1:8" x14ac:dyDescent="0.25">
      <c r="A8" s="263">
        <v>1</v>
      </c>
      <c r="B8" s="263">
        <v>2</v>
      </c>
      <c r="C8" s="263">
        <v>3</v>
      </c>
      <c r="D8" s="263">
        <v>4</v>
      </c>
      <c r="E8" s="263">
        <v>5</v>
      </c>
      <c r="F8" s="263">
        <v>6</v>
      </c>
      <c r="G8" s="223">
        <v>7</v>
      </c>
      <c r="H8" s="263">
        <v>8</v>
      </c>
    </row>
    <row r="9" spans="1:8" ht="54.75" customHeight="1" x14ac:dyDescent="0.25">
      <c r="A9" s="263" t="s">
        <v>181</v>
      </c>
      <c r="B9" s="261" t="s">
        <v>316</v>
      </c>
      <c r="C9" s="276">
        <v>2</v>
      </c>
      <c r="D9" s="252">
        <v>3</v>
      </c>
      <c r="E9" s="268">
        <v>4</v>
      </c>
      <c r="F9" s="268">
        <v>6</v>
      </c>
      <c r="G9" s="268">
        <v>8</v>
      </c>
      <c r="H9" s="268">
        <v>12</v>
      </c>
    </row>
    <row r="10" spans="1:8" ht="51.75" customHeight="1" x14ac:dyDescent="0.25">
      <c r="A10" s="262" t="s">
        <v>182</v>
      </c>
      <c r="B10" s="254" t="s">
        <v>382</v>
      </c>
      <c r="C10" s="252">
        <v>2</v>
      </c>
      <c r="D10" s="252">
        <v>4</v>
      </c>
      <c r="E10" s="268">
        <v>5</v>
      </c>
      <c r="F10" s="268">
        <v>6</v>
      </c>
      <c r="G10" s="268">
        <v>7</v>
      </c>
      <c r="H10" s="268">
        <v>11</v>
      </c>
    </row>
    <row r="11" spans="1:8" ht="42.75" customHeight="1" x14ac:dyDescent="0.25">
      <c r="A11" s="263" t="s">
        <v>201</v>
      </c>
      <c r="B11" s="261" t="s">
        <v>332</v>
      </c>
      <c r="C11" s="252">
        <v>38500</v>
      </c>
      <c r="D11" s="252">
        <v>46200</v>
      </c>
      <c r="E11" s="263">
        <v>53900</v>
      </c>
      <c r="F11" s="263">
        <v>53900</v>
      </c>
      <c r="G11" s="263">
        <v>53900</v>
      </c>
      <c r="H11" s="223">
        <v>53900</v>
      </c>
    </row>
    <row r="12" spans="1:8" ht="117" customHeight="1" x14ac:dyDescent="0.25">
      <c r="A12" s="262" t="s">
        <v>313</v>
      </c>
      <c r="B12" s="261" t="s">
        <v>333</v>
      </c>
      <c r="C12" s="252">
        <v>39</v>
      </c>
      <c r="D12" s="252">
        <v>51</v>
      </c>
      <c r="E12" s="263">
        <v>63</v>
      </c>
      <c r="F12" s="263">
        <v>63</v>
      </c>
      <c r="G12" s="263">
        <v>63</v>
      </c>
      <c r="H12" s="263">
        <v>63</v>
      </c>
    </row>
    <row r="13" spans="1:8" ht="150.75" customHeight="1" x14ac:dyDescent="0.25">
      <c r="A13" s="263" t="s">
        <v>314</v>
      </c>
      <c r="B13" s="261" t="s">
        <v>331</v>
      </c>
      <c r="C13" s="252">
        <v>15</v>
      </c>
      <c r="D13" s="252">
        <v>15</v>
      </c>
      <c r="E13" s="263">
        <v>15</v>
      </c>
      <c r="F13" s="263">
        <v>15</v>
      </c>
      <c r="G13" s="263">
        <v>15</v>
      </c>
      <c r="H13" s="263">
        <v>15</v>
      </c>
    </row>
    <row r="14" spans="1:8" ht="45" x14ac:dyDescent="0.25">
      <c r="A14" s="263" t="s">
        <v>315</v>
      </c>
      <c r="B14" s="261" t="s">
        <v>307</v>
      </c>
      <c r="C14" s="252">
        <v>67</v>
      </c>
      <c r="D14" s="252">
        <v>73</v>
      </c>
      <c r="E14" s="252">
        <v>79</v>
      </c>
      <c r="F14" s="263">
        <v>85</v>
      </c>
      <c r="G14" s="263">
        <v>91</v>
      </c>
      <c r="H14" s="263">
        <v>110</v>
      </c>
    </row>
    <row r="15" spans="1:8" ht="96" customHeight="1" x14ac:dyDescent="0.25">
      <c r="A15" s="263" t="s">
        <v>325</v>
      </c>
      <c r="B15" s="261" t="s">
        <v>330</v>
      </c>
      <c r="C15" s="252">
        <v>1352</v>
      </c>
      <c r="D15" s="252">
        <v>1760</v>
      </c>
      <c r="E15" s="263">
        <v>1810</v>
      </c>
      <c r="F15" s="263">
        <v>1860</v>
      </c>
      <c r="G15" s="263">
        <v>1885</v>
      </c>
      <c r="H15" s="263">
        <v>1910</v>
      </c>
    </row>
    <row r="16" spans="1:8" ht="15.75" x14ac:dyDescent="0.25">
      <c r="H16" s="75" t="s">
        <v>383</v>
      </c>
    </row>
    <row r="18" spans="1:1" ht="19.5" x14ac:dyDescent="0.25">
      <c r="A18" s="8"/>
    </row>
  </sheetData>
  <mergeCells count="6">
    <mergeCell ref="A3:H3"/>
    <mergeCell ref="A6:A7"/>
    <mergeCell ref="B6:B7"/>
    <mergeCell ref="C6:C7"/>
    <mergeCell ref="E6:F6"/>
    <mergeCell ref="H6:H7"/>
  </mergeCells>
  <pageMargins left="0.70866141732283472" right="0.70866141732283472" top="0.74803149606299213" bottom="0.74803149606299213" header="0.31496062992125984" footer="0.31496062992125984"/>
  <pageSetup paperSize="9" scale="57"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71"/>
  <sheetViews>
    <sheetView topLeftCell="A41" workbookViewId="0">
      <selection activeCell="B65" sqref="B65:B71"/>
    </sheetView>
  </sheetViews>
  <sheetFormatPr defaultColWidth="9.140625" defaultRowHeight="15" x14ac:dyDescent="0.25"/>
  <cols>
    <col min="1" max="1" width="21" style="30" customWidth="1"/>
    <col min="2" max="2" width="27.140625" style="31" customWidth="1"/>
    <col min="3" max="3" width="23.140625" style="32" customWidth="1"/>
    <col min="4" max="4" width="37" style="32" customWidth="1"/>
    <col min="5" max="8" width="18.42578125" style="32" hidden="1" customWidth="1"/>
    <col min="9" max="9" width="17.28515625" style="32" bestFit="1" customWidth="1"/>
    <col min="10" max="11" width="17.28515625" style="32" customWidth="1"/>
    <col min="12" max="12" width="19.28515625" style="32" customWidth="1"/>
    <col min="13" max="16384" width="9.140625" style="32"/>
  </cols>
  <sheetData>
    <row r="1" spans="1:23" ht="15.75" x14ac:dyDescent="0.25">
      <c r="L1" s="33" t="s">
        <v>87</v>
      </c>
    </row>
    <row r="2" spans="1:23" x14ac:dyDescent="0.25">
      <c r="A2" s="442" t="s">
        <v>88</v>
      </c>
      <c r="B2" s="442"/>
      <c r="C2" s="442"/>
      <c r="D2" s="442"/>
      <c r="E2" s="442"/>
      <c r="F2" s="442"/>
      <c r="G2" s="442"/>
      <c r="H2" s="442"/>
      <c r="I2" s="442"/>
      <c r="J2" s="442"/>
      <c r="K2" s="442"/>
      <c r="L2" s="442"/>
    </row>
    <row r="3" spans="1:23" ht="15.75" x14ac:dyDescent="0.25">
      <c r="A3" s="34"/>
    </row>
    <row r="4" spans="1:23" ht="35.25" customHeight="1" x14ac:dyDescent="0.25">
      <c r="A4" s="443" t="s">
        <v>82</v>
      </c>
      <c r="B4" s="443" t="s">
        <v>89</v>
      </c>
      <c r="C4" s="443" t="s">
        <v>90</v>
      </c>
      <c r="D4" s="443" t="s">
        <v>9</v>
      </c>
      <c r="E4" s="443" t="s">
        <v>91</v>
      </c>
      <c r="F4" s="443"/>
      <c r="G4" s="443"/>
      <c r="H4" s="443"/>
      <c r="I4" s="443"/>
      <c r="J4" s="443"/>
      <c r="K4" s="443"/>
      <c r="L4" s="443"/>
    </row>
    <row r="5" spans="1:23" x14ac:dyDescent="0.25">
      <c r="A5" s="443"/>
      <c r="B5" s="443"/>
      <c r="C5" s="443"/>
      <c r="D5" s="443"/>
      <c r="E5" s="443" t="s">
        <v>79</v>
      </c>
      <c r="F5" s="443"/>
      <c r="G5" s="443"/>
      <c r="H5" s="443"/>
      <c r="I5" s="443"/>
      <c r="J5" s="443"/>
      <c r="K5" s="443"/>
      <c r="L5" s="443"/>
    </row>
    <row r="6" spans="1:23" x14ac:dyDescent="0.25">
      <c r="A6" s="443"/>
      <c r="B6" s="443"/>
      <c r="C6" s="443"/>
      <c r="D6" s="443"/>
      <c r="E6" s="101" t="s">
        <v>12</v>
      </c>
      <c r="F6" s="101" t="s">
        <v>142</v>
      </c>
      <c r="G6" s="101" t="s">
        <v>143</v>
      </c>
      <c r="H6" s="101" t="s">
        <v>144</v>
      </c>
      <c r="I6" s="101" t="s">
        <v>117</v>
      </c>
      <c r="J6" s="101" t="s">
        <v>118</v>
      </c>
      <c r="K6" s="101" t="s">
        <v>119</v>
      </c>
      <c r="L6" s="101" t="s">
        <v>120</v>
      </c>
    </row>
    <row r="7" spans="1:23" s="37" customFormat="1" ht="12" x14ac:dyDescent="0.2">
      <c r="A7" s="35">
        <v>1</v>
      </c>
      <c r="B7" s="36">
        <v>2</v>
      </c>
      <c r="C7" s="35">
        <v>3</v>
      </c>
      <c r="D7" s="35">
        <v>4</v>
      </c>
      <c r="E7" s="35">
        <v>5</v>
      </c>
      <c r="F7" s="35">
        <v>6</v>
      </c>
      <c r="G7" s="35">
        <v>7</v>
      </c>
      <c r="H7" s="35">
        <v>8</v>
      </c>
      <c r="I7" s="35">
        <v>9</v>
      </c>
      <c r="J7" s="35">
        <v>10</v>
      </c>
      <c r="K7" s="35">
        <v>11</v>
      </c>
      <c r="L7" s="35">
        <v>12</v>
      </c>
    </row>
    <row r="8" spans="1:23" x14ac:dyDescent="0.25">
      <c r="A8" s="444" t="s">
        <v>239</v>
      </c>
      <c r="B8" s="444"/>
      <c r="C8" s="444"/>
      <c r="D8" s="444"/>
      <c r="E8" s="444"/>
      <c r="F8" s="444"/>
      <c r="G8" s="444"/>
      <c r="H8" s="444"/>
      <c r="I8" s="444"/>
      <c r="J8" s="444"/>
      <c r="K8" s="444"/>
      <c r="L8" s="444"/>
    </row>
    <row r="9" spans="1:23" ht="15" hidden="1" customHeight="1" x14ac:dyDescent="0.25">
      <c r="A9" s="445"/>
      <c r="B9" s="446"/>
      <c r="C9" s="447"/>
      <c r="D9" s="102" t="s">
        <v>12</v>
      </c>
      <c r="E9" s="39">
        <f>SUM(F9:L9)</f>
        <v>0</v>
      </c>
      <c r="F9" s="39">
        <f t="shared" ref="F9:H9" si="0">SUM(F10:F15)</f>
        <v>0</v>
      </c>
      <c r="G9" s="39">
        <f t="shared" si="0"/>
        <v>0</v>
      </c>
      <c r="H9" s="39">
        <f t="shared" si="0"/>
        <v>0</v>
      </c>
      <c r="I9" s="39">
        <f>SUM(I10:I15)</f>
        <v>0</v>
      </c>
      <c r="J9" s="39">
        <f t="shared" ref="J9:L9" si="1">SUM(J10:J15)</f>
        <v>0</v>
      </c>
      <c r="K9" s="38">
        <f t="shared" si="1"/>
        <v>0</v>
      </c>
      <c r="L9" s="38">
        <f t="shared" si="1"/>
        <v>0</v>
      </c>
    </row>
    <row r="10" spans="1:23" ht="18.75" hidden="1" x14ac:dyDescent="0.3">
      <c r="A10" s="445"/>
      <c r="B10" s="446"/>
      <c r="C10" s="447"/>
      <c r="D10" s="102" t="s">
        <v>13</v>
      </c>
      <c r="E10" s="39">
        <f t="shared" ref="E10:E78" si="2">SUM(F10:L10)</f>
        <v>0</v>
      </c>
      <c r="F10" s="39"/>
      <c r="G10" s="39"/>
      <c r="H10" s="39"/>
      <c r="I10" s="39">
        <v>0</v>
      </c>
      <c r="J10" s="44">
        <v>0</v>
      </c>
      <c r="K10" s="38">
        <v>0</v>
      </c>
      <c r="L10" s="38">
        <v>0</v>
      </c>
      <c r="M10" s="97"/>
      <c r="N10" s="97"/>
      <c r="O10" s="97"/>
      <c r="P10" s="97"/>
      <c r="Q10" s="97"/>
      <c r="R10" s="97"/>
      <c r="S10" s="97"/>
      <c r="T10" s="97"/>
      <c r="U10" s="97"/>
      <c r="V10" s="40"/>
      <c r="W10" s="40"/>
    </row>
    <row r="11" spans="1:23" hidden="1" x14ac:dyDescent="0.25">
      <c r="A11" s="445"/>
      <c r="B11" s="446"/>
      <c r="C11" s="447"/>
      <c r="D11" s="102" t="s">
        <v>14</v>
      </c>
      <c r="E11" s="39">
        <f t="shared" si="2"/>
        <v>0</v>
      </c>
      <c r="F11" s="39">
        <v>0</v>
      </c>
      <c r="G11" s="39">
        <v>0</v>
      </c>
      <c r="H11" s="39">
        <v>0</v>
      </c>
      <c r="I11" s="39">
        <v>0</v>
      </c>
      <c r="J11" s="39">
        <v>0</v>
      </c>
      <c r="K11" s="39">
        <v>0</v>
      </c>
      <c r="L11" s="39">
        <v>0</v>
      </c>
    </row>
    <row r="12" spans="1:23" hidden="1" x14ac:dyDescent="0.25">
      <c r="A12" s="445"/>
      <c r="B12" s="446"/>
      <c r="C12" s="447"/>
      <c r="D12" s="102" t="s">
        <v>15</v>
      </c>
      <c r="E12" s="39">
        <f t="shared" si="2"/>
        <v>0</v>
      </c>
      <c r="F12" s="39">
        <v>0</v>
      </c>
      <c r="G12" s="39">
        <v>0</v>
      </c>
      <c r="H12" s="39">
        <v>0</v>
      </c>
      <c r="I12" s="39">
        <v>0</v>
      </c>
      <c r="J12" s="39">
        <v>0</v>
      </c>
      <c r="K12" s="39">
        <v>0</v>
      </c>
      <c r="L12" s="39">
        <v>0</v>
      </c>
    </row>
    <row r="13" spans="1:23" ht="30" hidden="1" x14ac:dyDescent="0.25">
      <c r="A13" s="445"/>
      <c r="B13" s="446"/>
      <c r="C13" s="447"/>
      <c r="D13" s="100" t="s">
        <v>92</v>
      </c>
      <c r="E13" s="39">
        <f t="shared" si="2"/>
        <v>0</v>
      </c>
      <c r="F13" s="39">
        <v>0</v>
      </c>
      <c r="G13" s="39">
        <v>0</v>
      </c>
      <c r="H13" s="39">
        <v>0</v>
      </c>
      <c r="I13" s="39">
        <v>0</v>
      </c>
      <c r="J13" s="39">
        <v>0</v>
      </c>
      <c r="K13" s="39">
        <v>0</v>
      </c>
      <c r="L13" s="39">
        <v>0</v>
      </c>
    </row>
    <row r="14" spans="1:23" hidden="1" x14ac:dyDescent="0.25">
      <c r="A14" s="445"/>
      <c r="B14" s="446"/>
      <c r="C14" s="447"/>
      <c r="D14" s="100" t="s">
        <v>93</v>
      </c>
      <c r="E14" s="39">
        <f t="shared" si="2"/>
        <v>0</v>
      </c>
      <c r="F14" s="39">
        <v>0</v>
      </c>
      <c r="G14" s="39">
        <v>0</v>
      </c>
      <c r="H14" s="39">
        <v>0</v>
      </c>
      <c r="I14" s="39">
        <v>0</v>
      </c>
      <c r="J14" s="39">
        <v>0</v>
      </c>
      <c r="K14" s="39">
        <v>0</v>
      </c>
      <c r="L14" s="39">
        <v>0</v>
      </c>
    </row>
    <row r="15" spans="1:23" hidden="1" x14ac:dyDescent="0.25">
      <c r="A15" s="445"/>
      <c r="B15" s="446"/>
      <c r="C15" s="447"/>
      <c r="D15" s="102" t="s">
        <v>18</v>
      </c>
      <c r="E15" s="39">
        <f t="shared" si="2"/>
        <v>0</v>
      </c>
      <c r="F15" s="39">
        <v>0</v>
      </c>
      <c r="G15" s="39">
        <v>0</v>
      </c>
      <c r="H15" s="39">
        <v>0</v>
      </c>
      <c r="I15" s="39">
        <v>0</v>
      </c>
      <c r="J15" s="39">
        <v>0</v>
      </c>
      <c r="K15" s="39">
        <v>0</v>
      </c>
      <c r="L15" s="39">
        <v>0</v>
      </c>
    </row>
    <row r="16" spans="1:23" ht="15" hidden="1" customHeight="1" x14ac:dyDescent="0.25">
      <c r="A16" s="445"/>
      <c r="B16" s="446"/>
      <c r="C16" s="447"/>
      <c r="D16" s="102" t="s">
        <v>12</v>
      </c>
      <c r="E16" s="39">
        <f t="shared" si="2"/>
        <v>0</v>
      </c>
      <c r="F16" s="39">
        <f t="shared" ref="F16:H16" si="3">SUM(F17:F22)</f>
        <v>0</v>
      </c>
      <c r="G16" s="39">
        <f t="shared" si="3"/>
        <v>0</v>
      </c>
      <c r="H16" s="39">
        <f t="shared" si="3"/>
        <v>0</v>
      </c>
      <c r="I16" s="39">
        <f>SUM(I17:I22)</f>
        <v>0</v>
      </c>
      <c r="J16" s="39">
        <f t="shared" ref="J16:L16" si="4">SUM(J17:J22)</f>
        <v>0</v>
      </c>
      <c r="K16" s="38">
        <f t="shared" si="4"/>
        <v>0</v>
      </c>
      <c r="L16" s="38">
        <f t="shared" si="4"/>
        <v>0</v>
      </c>
    </row>
    <row r="17" spans="1:12" x14ac:dyDescent="0.25">
      <c r="A17" s="445"/>
      <c r="B17" s="446"/>
      <c r="C17" s="447"/>
      <c r="D17" s="102" t="s">
        <v>13</v>
      </c>
      <c r="E17" s="39">
        <f t="shared" si="2"/>
        <v>0</v>
      </c>
      <c r="F17" s="39">
        <v>0</v>
      </c>
      <c r="G17" s="39">
        <v>0</v>
      </c>
      <c r="H17" s="39">
        <v>0</v>
      </c>
      <c r="I17" s="39">
        <v>0</v>
      </c>
      <c r="J17" s="44">
        <v>0</v>
      </c>
      <c r="K17" s="39">
        <v>0</v>
      </c>
      <c r="L17" s="39">
        <v>0</v>
      </c>
    </row>
    <row r="18" spans="1:12" x14ac:dyDescent="0.25">
      <c r="A18" s="445"/>
      <c r="B18" s="446"/>
      <c r="C18" s="447"/>
      <c r="D18" s="102" t="s">
        <v>14</v>
      </c>
      <c r="E18" s="39">
        <f t="shared" si="2"/>
        <v>0</v>
      </c>
      <c r="F18" s="39">
        <v>0</v>
      </c>
      <c r="G18" s="39">
        <v>0</v>
      </c>
      <c r="H18" s="39">
        <v>0</v>
      </c>
      <c r="I18" s="39">
        <v>0</v>
      </c>
      <c r="J18" s="39">
        <v>0</v>
      </c>
      <c r="K18" s="39">
        <v>0</v>
      </c>
      <c r="L18" s="39">
        <v>0</v>
      </c>
    </row>
    <row r="19" spans="1:12" x14ac:dyDescent="0.25">
      <c r="A19" s="445"/>
      <c r="B19" s="446"/>
      <c r="C19" s="447"/>
      <c r="D19" s="102" t="s">
        <v>15</v>
      </c>
      <c r="E19" s="39">
        <f t="shared" si="2"/>
        <v>0</v>
      </c>
      <c r="F19" s="39">
        <v>0</v>
      </c>
      <c r="G19" s="39">
        <v>0</v>
      </c>
      <c r="H19" s="39">
        <v>0</v>
      </c>
      <c r="I19" s="39">
        <v>0</v>
      </c>
      <c r="J19" s="39">
        <v>0</v>
      </c>
      <c r="K19" s="39">
        <v>0</v>
      </c>
      <c r="L19" s="39">
        <v>0</v>
      </c>
    </row>
    <row r="20" spans="1:12" ht="30" x14ac:dyDescent="0.25">
      <c r="A20" s="445"/>
      <c r="B20" s="446"/>
      <c r="C20" s="447"/>
      <c r="D20" s="100" t="s">
        <v>92</v>
      </c>
      <c r="E20" s="39">
        <f t="shared" si="2"/>
        <v>0</v>
      </c>
      <c r="F20" s="39">
        <v>0</v>
      </c>
      <c r="G20" s="39">
        <v>0</v>
      </c>
      <c r="H20" s="39">
        <v>0</v>
      </c>
      <c r="I20" s="39">
        <v>0</v>
      </c>
      <c r="J20" s="39">
        <v>0</v>
      </c>
      <c r="K20" s="39">
        <v>0</v>
      </c>
      <c r="L20" s="39">
        <v>0</v>
      </c>
    </row>
    <row r="21" spans="1:12" x14ac:dyDescent="0.25">
      <c r="A21" s="445"/>
      <c r="B21" s="446"/>
      <c r="C21" s="447"/>
      <c r="D21" s="100" t="s">
        <v>93</v>
      </c>
      <c r="E21" s="38">
        <f t="shared" si="2"/>
        <v>0</v>
      </c>
      <c r="F21" s="39">
        <v>0</v>
      </c>
      <c r="G21" s="39">
        <v>0</v>
      </c>
      <c r="H21" s="39">
        <v>0</v>
      </c>
      <c r="I21" s="39">
        <v>0</v>
      </c>
      <c r="J21" s="39">
        <v>0</v>
      </c>
      <c r="K21" s="39">
        <v>0</v>
      </c>
      <c r="L21" s="39">
        <v>0</v>
      </c>
    </row>
    <row r="22" spans="1:12" x14ac:dyDescent="0.25">
      <c r="A22" s="445"/>
      <c r="B22" s="446"/>
      <c r="C22" s="447"/>
      <c r="D22" s="102" t="s">
        <v>18</v>
      </c>
      <c r="E22" s="38">
        <f t="shared" si="2"/>
        <v>0</v>
      </c>
      <c r="F22" s="39">
        <v>0</v>
      </c>
      <c r="G22" s="39">
        <v>0</v>
      </c>
      <c r="H22" s="39">
        <v>0</v>
      </c>
      <c r="I22" s="39">
        <v>0</v>
      </c>
      <c r="J22" s="39">
        <v>0</v>
      </c>
      <c r="K22" s="39">
        <v>0</v>
      </c>
      <c r="L22" s="39">
        <v>0</v>
      </c>
    </row>
    <row r="23" spans="1:12" x14ac:dyDescent="0.25">
      <c r="A23" s="445"/>
      <c r="B23" s="446"/>
      <c r="C23" s="447"/>
      <c r="D23" s="102" t="s">
        <v>12</v>
      </c>
      <c r="E23" s="38">
        <f t="shared" si="2"/>
        <v>0</v>
      </c>
      <c r="F23" s="38">
        <f t="shared" ref="F23:H23" si="5">SUM(F24:F29)</f>
        <v>0</v>
      </c>
      <c r="G23" s="38">
        <f t="shared" si="5"/>
        <v>0</v>
      </c>
      <c r="H23" s="38">
        <f t="shared" si="5"/>
        <v>0</v>
      </c>
      <c r="I23" s="38">
        <f>SUM(I24:I29)</f>
        <v>0</v>
      </c>
      <c r="J23" s="38">
        <f t="shared" ref="J23:L23" si="6">SUM(J24:J29)</f>
        <v>0</v>
      </c>
      <c r="K23" s="38">
        <f t="shared" si="6"/>
        <v>0</v>
      </c>
      <c r="L23" s="38">
        <f t="shared" si="6"/>
        <v>0</v>
      </c>
    </row>
    <row r="24" spans="1:12" x14ac:dyDescent="0.25">
      <c r="A24" s="445"/>
      <c r="B24" s="446"/>
      <c r="C24" s="447"/>
      <c r="D24" s="102" t="s">
        <v>13</v>
      </c>
      <c r="E24" s="38">
        <f t="shared" si="2"/>
        <v>0</v>
      </c>
      <c r="F24" s="39">
        <v>0</v>
      </c>
      <c r="G24" s="39">
        <v>0</v>
      </c>
      <c r="H24" s="39">
        <v>0</v>
      </c>
      <c r="I24" s="39">
        <v>0</v>
      </c>
      <c r="J24" s="39">
        <v>0</v>
      </c>
      <c r="K24" s="39">
        <v>0</v>
      </c>
      <c r="L24" s="39">
        <v>0</v>
      </c>
    </row>
    <row r="25" spans="1:12" x14ac:dyDescent="0.25">
      <c r="A25" s="445"/>
      <c r="B25" s="446"/>
      <c r="C25" s="447"/>
      <c r="D25" s="102" t="s">
        <v>14</v>
      </c>
      <c r="E25" s="38">
        <f t="shared" si="2"/>
        <v>0</v>
      </c>
      <c r="F25" s="39">
        <v>0</v>
      </c>
      <c r="G25" s="39">
        <v>0</v>
      </c>
      <c r="H25" s="39">
        <v>0</v>
      </c>
      <c r="I25" s="39">
        <v>0</v>
      </c>
      <c r="J25" s="39">
        <v>0</v>
      </c>
      <c r="K25" s="39">
        <v>0</v>
      </c>
      <c r="L25" s="39">
        <v>0</v>
      </c>
    </row>
    <row r="26" spans="1:12" x14ac:dyDescent="0.25">
      <c r="A26" s="445"/>
      <c r="B26" s="446"/>
      <c r="C26" s="447"/>
      <c r="D26" s="102" t="s">
        <v>15</v>
      </c>
      <c r="E26" s="38">
        <f t="shared" si="2"/>
        <v>0</v>
      </c>
      <c r="F26" s="39">
        <v>0</v>
      </c>
      <c r="G26" s="39">
        <v>0</v>
      </c>
      <c r="H26" s="39">
        <v>0</v>
      </c>
      <c r="I26" s="39">
        <v>0</v>
      </c>
      <c r="J26" s="39">
        <v>0</v>
      </c>
      <c r="K26" s="39">
        <v>0</v>
      </c>
      <c r="L26" s="39">
        <v>0</v>
      </c>
    </row>
    <row r="27" spans="1:12" ht="30" x14ac:dyDescent="0.25">
      <c r="A27" s="445"/>
      <c r="B27" s="446"/>
      <c r="C27" s="447"/>
      <c r="D27" s="100" t="s">
        <v>92</v>
      </c>
      <c r="E27" s="38">
        <f t="shared" si="2"/>
        <v>0</v>
      </c>
      <c r="F27" s="39">
        <v>0</v>
      </c>
      <c r="G27" s="39">
        <v>0</v>
      </c>
      <c r="H27" s="39">
        <v>0</v>
      </c>
      <c r="I27" s="39">
        <v>0</v>
      </c>
      <c r="J27" s="39">
        <v>0</v>
      </c>
      <c r="K27" s="39">
        <v>0</v>
      </c>
      <c r="L27" s="39">
        <v>0</v>
      </c>
    </row>
    <row r="28" spans="1:12" x14ac:dyDescent="0.25">
      <c r="A28" s="445"/>
      <c r="B28" s="446"/>
      <c r="C28" s="447"/>
      <c r="D28" s="100" t="s">
        <v>93</v>
      </c>
      <c r="E28" s="38">
        <f t="shared" si="2"/>
        <v>0</v>
      </c>
      <c r="F28" s="39">
        <v>0</v>
      </c>
      <c r="G28" s="39">
        <v>0</v>
      </c>
      <c r="H28" s="39">
        <v>0</v>
      </c>
      <c r="I28" s="39">
        <v>0</v>
      </c>
      <c r="J28" s="39">
        <v>0</v>
      </c>
      <c r="K28" s="39">
        <v>0</v>
      </c>
      <c r="L28" s="39">
        <v>0</v>
      </c>
    </row>
    <row r="29" spans="1:12" x14ac:dyDescent="0.25">
      <c r="A29" s="445"/>
      <c r="B29" s="446"/>
      <c r="C29" s="447"/>
      <c r="D29" s="102" t="s">
        <v>18</v>
      </c>
      <c r="E29" s="38">
        <f t="shared" si="2"/>
        <v>0</v>
      </c>
      <c r="F29" s="39">
        <v>0</v>
      </c>
      <c r="G29" s="39">
        <v>0</v>
      </c>
      <c r="H29" s="39">
        <v>0</v>
      </c>
      <c r="I29" s="39">
        <v>0</v>
      </c>
      <c r="J29" s="39">
        <v>0</v>
      </c>
      <c r="K29" s="39">
        <v>0</v>
      </c>
      <c r="L29" s="39">
        <v>0</v>
      </c>
    </row>
    <row r="30" spans="1:12" x14ac:dyDescent="0.25">
      <c r="A30" s="445"/>
      <c r="B30" s="446" t="s">
        <v>191</v>
      </c>
      <c r="C30" s="447" t="s">
        <v>134</v>
      </c>
      <c r="D30" s="102" t="s">
        <v>12</v>
      </c>
      <c r="E30" s="38">
        <f t="shared" si="2"/>
        <v>0</v>
      </c>
      <c r="F30" s="38">
        <f t="shared" ref="F30:H30" si="7">SUM(F31:F36)</f>
        <v>0</v>
      </c>
      <c r="G30" s="38">
        <f t="shared" si="7"/>
        <v>0</v>
      </c>
      <c r="H30" s="38">
        <f t="shared" si="7"/>
        <v>0</v>
      </c>
      <c r="I30" s="38">
        <f>SUM(I31:I36)</f>
        <v>0</v>
      </c>
      <c r="J30" s="38">
        <f t="shared" ref="J30:L30" si="8">SUM(J31:J36)</f>
        <v>0</v>
      </c>
      <c r="K30" s="38">
        <f t="shared" si="8"/>
        <v>0</v>
      </c>
      <c r="L30" s="38">
        <f t="shared" si="8"/>
        <v>0</v>
      </c>
    </row>
    <row r="31" spans="1:12" x14ac:dyDescent="0.25">
      <c r="A31" s="445"/>
      <c r="B31" s="446"/>
      <c r="C31" s="447"/>
      <c r="D31" s="102" t="s">
        <v>13</v>
      </c>
      <c r="E31" s="38">
        <f t="shared" si="2"/>
        <v>0</v>
      </c>
      <c r="F31" s="39">
        <v>0</v>
      </c>
      <c r="G31" s="39">
        <v>0</v>
      </c>
      <c r="H31" s="39">
        <v>0</v>
      </c>
      <c r="I31" s="39">
        <v>0</v>
      </c>
      <c r="J31" s="39">
        <v>0</v>
      </c>
      <c r="K31" s="39">
        <v>0</v>
      </c>
      <c r="L31" s="39">
        <v>0</v>
      </c>
    </row>
    <row r="32" spans="1:12" x14ac:dyDescent="0.25">
      <c r="A32" s="445"/>
      <c r="B32" s="446"/>
      <c r="C32" s="447"/>
      <c r="D32" s="102" t="s">
        <v>14</v>
      </c>
      <c r="E32" s="38">
        <f t="shared" si="2"/>
        <v>0</v>
      </c>
      <c r="F32" s="39">
        <v>0</v>
      </c>
      <c r="G32" s="39">
        <v>0</v>
      </c>
      <c r="H32" s="39">
        <v>0</v>
      </c>
      <c r="I32" s="39">
        <v>0</v>
      </c>
      <c r="J32" s="39">
        <v>0</v>
      </c>
      <c r="K32" s="39">
        <v>0</v>
      </c>
      <c r="L32" s="39">
        <v>0</v>
      </c>
    </row>
    <row r="33" spans="1:12" x14ac:dyDescent="0.25">
      <c r="A33" s="445"/>
      <c r="B33" s="446"/>
      <c r="C33" s="447"/>
      <c r="D33" s="102" t="s">
        <v>15</v>
      </c>
      <c r="E33" s="38">
        <f t="shared" si="2"/>
        <v>0</v>
      </c>
      <c r="F33" s="39">
        <v>0</v>
      </c>
      <c r="G33" s="39">
        <v>0</v>
      </c>
      <c r="H33" s="39">
        <v>0</v>
      </c>
      <c r="I33" s="39">
        <v>0</v>
      </c>
      <c r="J33" s="39">
        <v>0</v>
      </c>
      <c r="K33" s="39">
        <v>0</v>
      </c>
      <c r="L33" s="39">
        <v>0</v>
      </c>
    </row>
    <row r="34" spans="1:12" ht="30" x14ac:dyDescent="0.25">
      <c r="A34" s="445"/>
      <c r="B34" s="446"/>
      <c r="C34" s="447"/>
      <c r="D34" s="100" t="s">
        <v>94</v>
      </c>
      <c r="E34" s="38">
        <f t="shared" si="2"/>
        <v>0</v>
      </c>
      <c r="F34" s="39">
        <v>0</v>
      </c>
      <c r="G34" s="39">
        <v>0</v>
      </c>
      <c r="H34" s="39">
        <v>0</v>
      </c>
      <c r="I34" s="39">
        <v>0</v>
      </c>
      <c r="J34" s="39">
        <v>0</v>
      </c>
      <c r="K34" s="39">
        <v>0</v>
      </c>
      <c r="L34" s="39">
        <v>0</v>
      </c>
    </row>
    <row r="35" spans="1:12" x14ac:dyDescent="0.25">
      <c r="A35" s="445"/>
      <c r="B35" s="446"/>
      <c r="C35" s="447"/>
      <c r="D35" s="100" t="s">
        <v>93</v>
      </c>
      <c r="E35" s="38">
        <f t="shared" si="2"/>
        <v>0</v>
      </c>
      <c r="F35" s="39">
        <v>0</v>
      </c>
      <c r="G35" s="39">
        <v>0</v>
      </c>
      <c r="H35" s="39">
        <v>0</v>
      </c>
      <c r="I35" s="39">
        <v>0</v>
      </c>
      <c r="J35" s="39">
        <v>0</v>
      </c>
      <c r="K35" s="39">
        <v>0</v>
      </c>
      <c r="L35" s="39">
        <v>0</v>
      </c>
    </row>
    <row r="36" spans="1:12" x14ac:dyDescent="0.25">
      <c r="A36" s="445"/>
      <c r="B36" s="446"/>
      <c r="C36" s="447"/>
      <c r="D36" s="102" t="s">
        <v>18</v>
      </c>
      <c r="E36" s="38">
        <f t="shared" si="2"/>
        <v>0</v>
      </c>
      <c r="F36" s="39">
        <v>0</v>
      </c>
      <c r="G36" s="39">
        <v>0</v>
      </c>
      <c r="H36" s="39">
        <v>0</v>
      </c>
      <c r="I36" s="39">
        <v>0</v>
      </c>
      <c r="J36" s="39">
        <v>0</v>
      </c>
      <c r="K36" s="39">
        <v>0</v>
      </c>
      <c r="L36" s="39">
        <v>0</v>
      </c>
    </row>
    <row r="37" spans="1:12" s="40" customFormat="1" x14ac:dyDescent="0.25">
      <c r="A37" s="451" t="s">
        <v>86</v>
      </c>
      <c r="B37" s="454" t="s">
        <v>192</v>
      </c>
      <c r="C37" s="457" t="s">
        <v>179</v>
      </c>
      <c r="D37" s="102" t="s">
        <v>12</v>
      </c>
      <c r="E37" s="39">
        <f t="shared" si="2"/>
        <v>1543552.2057899998</v>
      </c>
      <c r="F37" s="87">
        <f t="shared" ref="F37:H37" si="9">SUM(F38:F43)</f>
        <v>279492.61495000002</v>
      </c>
      <c r="G37" s="39">
        <f t="shared" si="9"/>
        <v>273706.81309000001</v>
      </c>
      <c r="H37" s="39">
        <f t="shared" si="9"/>
        <v>267212.29514</v>
      </c>
      <c r="I37" s="39">
        <f>SUM(I38:I43)</f>
        <v>508093.79960999999</v>
      </c>
      <c r="J37" s="39">
        <f t="shared" ref="J37:L37" si="10">SUM(J38:J43)</f>
        <v>171409.68299999999</v>
      </c>
      <c r="K37" s="39">
        <f t="shared" si="10"/>
        <v>3137</v>
      </c>
      <c r="L37" s="39">
        <f t="shared" si="10"/>
        <v>40500</v>
      </c>
    </row>
    <row r="38" spans="1:12" x14ac:dyDescent="0.25">
      <c r="A38" s="452"/>
      <c r="B38" s="455"/>
      <c r="C38" s="458"/>
      <c r="D38" s="102" t="s">
        <v>13</v>
      </c>
      <c r="E38" s="39">
        <f t="shared" si="2"/>
        <v>0</v>
      </c>
      <c r="F38" s="87">
        <f>F45+F52</f>
        <v>0</v>
      </c>
      <c r="G38" s="39">
        <f t="shared" ref="G38:L38" si="11">G45+G52</f>
        <v>0</v>
      </c>
      <c r="H38" s="39">
        <f t="shared" si="11"/>
        <v>0</v>
      </c>
      <c r="I38" s="39">
        <f t="shared" si="11"/>
        <v>0</v>
      </c>
      <c r="J38" s="39">
        <f t="shared" si="11"/>
        <v>0</v>
      </c>
      <c r="K38" s="39">
        <f t="shared" si="11"/>
        <v>0</v>
      </c>
      <c r="L38" s="39">
        <f t="shared" si="11"/>
        <v>0</v>
      </c>
    </row>
    <row r="39" spans="1:12" x14ac:dyDescent="0.25">
      <c r="A39" s="452"/>
      <c r="B39" s="455"/>
      <c r="C39" s="458"/>
      <c r="D39" s="102" t="s">
        <v>14</v>
      </c>
      <c r="E39" s="39">
        <f t="shared" si="2"/>
        <v>10044.5</v>
      </c>
      <c r="F39" s="87">
        <f t="shared" ref="F39:L43" si="12">F46+F53</f>
        <v>5644.5</v>
      </c>
      <c r="G39" s="39">
        <f t="shared" si="12"/>
        <v>4200</v>
      </c>
      <c r="H39" s="39">
        <f t="shared" si="12"/>
        <v>200</v>
      </c>
      <c r="I39" s="39">
        <f t="shared" si="12"/>
        <v>0</v>
      </c>
      <c r="J39" s="39">
        <f t="shared" si="12"/>
        <v>0</v>
      </c>
      <c r="K39" s="39">
        <f t="shared" si="12"/>
        <v>0</v>
      </c>
      <c r="L39" s="39">
        <f t="shared" si="12"/>
        <v>0</v>
      </c>
    </row>
    <row r="40" spans="1:12" x14ac:dyDescent="0.25">
      <c r="A40" s="452"/>
      <c r="B40" s="455"/>
      <c r="C40" s="458"/>
      <c r="D40" s="102" t="s">
        <v>15</v>
      </c>
      <c r="E40" s="39">
        <f t="shared" si="2"/>
        <v>832977.98682999995</v>
      </c>
      <c r="F40" s="87">
        <f t="shared" si="12"/>
        <v>273848.11495000002</v>
      </c>
      <c r="G40" s="39">
        <f t="shared" si="12"/>
        <v>269506.81309000001</v>
      </c>
      <c r="H40" s="39">
        <f t="shared" si="12"/>
        <v>267012.29514</v>
      </c>
      <c r="I40" s="39">
        <f t="shared" si="12"/>
        <v>22410.763649999997</v>
      </c>
      <c r="J40" s="39">
        <f t="shared" si="12"/>
        <v>200</v>
      </c>
      <c r="K40" s="39">
        <f t="shared" si="12"/>
        <v>0</v>
      </c>
      <c r="L40" s="39">
        <f t="shared" si="12"/>
        <v>0</v>
      </c>
    </row>
    <row r="41" spans="1:12" ht="30" x14ac:dyDescent="0.25">
      <c r="A41" s="452"/>
      <c r="B41" s="455"/>
      <c r="C41" s="458"/>
      <c r="D41" s="100" t="s">
        <v>94</v>
      </c>
      <c r="E41" s="39">
        <f t="shared" si="2"/>
        <v>0</v>
      </c>
      <c r="F41" s="87">
        <f t="shared" si="12"/>
        <v>0</v>
      </c>
      <c r="G41" s="39">
        <f>G48+G55</f>
        <v>0</v>
      </c>
      <c r="H41" s="39">
        <f t="shared" si="12"/>
        <v>0</v>
      </c>
      <c r="I41" s="39">
        <f t="shared" si="12"/>
        <v>0</v>
      </c>
      <c r="J41" s="39">
        <f t="shared" si="12"/>
        <v>0</v>
      </c>
      <c r="K41" s="39">
        <f t="shared" si="12"/>
        <v>0</v>
      </c>
      <c r="L41" s="39">
        <f t="shared" si="12"/>
        <v>0</v>
      </c>
    </row>
    <row r="42" spans="1:12" x14ac:dyDescent="0.25">
      <c r="A42" s="452"/>
      <c r="B42" s="455"/>
      <c r="C42" s="458"/>
      <c r="D42" s="100" t="s">
        <v>93</v>
      </c>
      <c r="E42" s="39">
        <f t="shared" si="2"/>
        <v>0</v>
      </c>
      <c r="F42" s="87">
        <f t="shared" si="12"/>
        <v>0</v>
      </c>
      <c r="G42" s="39">
        <f t="shared" si="12"/>
        <v>0</v>
      </c>
      <c r="H42" s="39">
        <f t="shared" si="12"/>
        <v>0</v>
      </c>
      <c r="I42" s="39">
        <f t="shared" si="12"/>
        <v>0</v>
      </c>
      <c r="J42" s="39">
        <f t="shared" si="12"/>
        <v>0</v>
      </c>
      <c r="K42" s="39">
        <f t="shared" si="12"/>
        <v>0</v>
      </c>
      <c r="L42" s="39">
        <f t="shared" si="12"/>
        <v>0</v>
      </c>
    </row>
    <row r="43" spans="1:12" x14ac:dyDescent="0.25">
      <c r="A43" s="452"/>
      <c r="B43" s="455"/>
      <c r="C43" s="459"/>
      <c r="D43" s="102" t="s">
        <v>18</v>
      </c>
      <c r="E43" s="39">
        <f t="shared" si="2"/>
        <v>700529.71895999997</v>
      </c>
      <c r="F43" s="87">
        <f t="shared" si="12"/>
        <v>0</v>
      </c>
      <c r="G43" s="39">
        <f t="shared" si="12"/>
        <v>0</v>
      </c>
      <c r="H43" s="39">
        <f t="shared" si="12"/>
        <v>0</v>
      </c>
      <c r="I43" s="39">
        <f t="shared" si="12"/>
        <v>485683.03596000001</v>
      </c>
      <c r="J43" s="39">
        <f t="shared" si="12"/>
        <v>171209.68299999999</v>
      </c>
      <c r="K43" s="39">
        <f t="shared" si="12"/>
        <v>3137</v>
      </c>
      <c r="L43" s="39">
        <f t="shared" si="12"/>
        <v>40500</v>
      </c>
    </row>
    <row r="44" spans="1:12" s="40" customFormat="1" x14ac:dyDescent="0.25">
      <c r="A44" s="452"/>
      <c r="B44" s="455"/>
      <c r="C44" s="460" t="s">
        <v>8</v>
      </c>
      <c r="D44" s="102" t="s">
        <v>12</v>
      </c>
      <c r="E44" s="39">
        <f>SUM(F44:L44)</f>
        <v>113443.28033000001</v>
      </c>
      <c r="F44" s="87">
        <f>SUM(F45:F50)</f>
        <v>14147.688</v>
      </c>
      <c r="G44" s="39">
        <f t="shared" ref="G44:H44" si="13">SUM(G45:G50)</f>
        <v>9544.8861399999987</v>
      </c>
      <c r="H44" s="39">
        <f t="shared" si="13"/>
        <v>3050.3681900000001</v>
      </c>
      <c r="I44" s="39">
        <f>SUM(I45:I50)</f>
        <v>25178.744999999999</v>
      </c>
      <c r="J44" s="39">
        <f t="shared" ref="J44:L44" si="14">SUM(J45:J50)</f>
        <v>17884.593000000001</v>
      </c>
      <c r="K44" s="39">
        <f t="shared" si="14"/>
        <v>3137</v>
      </c>
      <c r="L44" s="39">
        <f t="shared" si="14"/>
        <v>40500</v>
      </c>
    </row>
    <row r="45" spans="1:12" x14ac:dyDescent="0.25">
      <c r="A45" s="452"/>
      <c r="B45" s="455"/>
      <c r="C45" s="460"/>
      <c r="D45" s="102" t="s">
        <v>13</v>
      </c>
      <c r="E45" s="39">
        <f t="shared" si="2"/>
        <v>0</v>
      </c>
      <c r="F45" s="87">
        <v>0</v>
      </c>
      <c r="G45" s="39">
        <v>0</v>
      </c>
      <c r="H45" s="39">
        <v>0</v>
      </c>
      <c r="I45" s="39">
        <v>0</v>
      </c>
      <c r="J45" s="39">
        <v>0</v>
      </c>
      <c r="K45" s="39">
        <v>0</v>
      </c>
      <c r="L45" s="39">
        <v>0</v>
      </c>
    </row>
    <row r="46" spans="1:12" x14ac:dyDescent="0.25">
      <c r="A46" s="452"/>
      <c r="B46" s="455"/>
      <c r="C46" s="460"/>
      <c r="D46" s="102" t="s">
        <v>14</v>
      </c>
      <c r="E46" s="39">
        <f t="shared" si="2"/>
        <v>10044.5</v>
      </c>
      <c r="F46" s="87">
        <f>4070+750+824.5</f>
        <v>5644.5</v>
      </c>
      <c r="G46" s="39">
        <f>4100+100</f>
        <v>4200</v>
      </c>
      <c r="H46" s="39">
        <f>200</f>
        <v>200</v>
      </c>
      <c r="I46" s="39">
        <v>0</v>
      </c>
      <c r="J46" s="39">
        <v>0</v>
      </c>
      <c r="K46" s="39">
        <v>0</v>
      </c>
      <c r="L46" s="39">
        <v>0</v>
      </c>
    </row>
    <row r="47" spans="1:12" x14ac:dyDescent="0.25">
      <c r="A47" s="452"/>
      <c r="B47" s="455"/>
      <c r="C47" s="460"/>
      <c r="D47" s="102" t="s">
        <v>15</v>
      </c>
      <c r="E47" s="39">
        <f t="shared" si="2"/>
        <v>18506.078320000001</v>
      </c>
      <c r="F47" s="87">
        <v>8503.1880000000001</v>
      </c>
      <c r="G47" s="39">
        <v>5344.8861399999996</v>
      </c>
      <c r="H47" s="39">
        <f>1150.36819+1700</f>
        <v>2850.3681900000001</v>
      </c>
      <c r="I47" s="39">
        <f>1770.26099-162.625</f>
        <v>1607.63599</v>
      </c>
      <c r="J47" s="39">
        <v>200</v>
      </c>
      <c r="K47" s="39">
        <v>0</v>
      </c>
      <c r="L47" s="39">
        <v>0</v>
      </c>
    </row>
    <row r="48" spans="1:12" ht="30" x14ac:dyDescent="0.25">
      <c r="A48" s="452"/>
      <c r="B48" s="455"/>
      <c r="C48" s="460"/>
      <c r="D48" s="100" t="s">
        <v>94</v>
      </c>
      <c r="E48" s="39">
        <f t="shared" si="2"/>
        <v>0</v>
      </c>
      <c r="F48" s="87">
        <v>0</v>
      </c>
      <c r="G48" s="39">
        <v>0</v>
      </c>
      <c r="H48" s="39">
        <v>0</v>
      </c>
      <c r="I48" s="39">
        <v>0</v>
      </c>
      <c r="J48" s="39">
        <v>0</v>
      </c>
      <c r="K48" s="39">
        <v>0</v>
      </c>
      <c r="L48" s="39">
        <v>0</v>
      </c>
    </row>
    <row r="49" spans="1:12" x14ac:dyDescent="0.25">
      <c r="A49" s="452"/>
      <c r="B49" s="455"/>
      <c r="C49" s="460"/>
      <c r="D49" s="100" t="s">
        <v>93</v>
      </c>
      <c r="E49" s="39">
        <f t="shared" si="2"/>
        <v>0</v>
      </c>
      <c r="F49" s="87">
        <v>0</v>
      </c>
      <c r="G49" s="39">
        <v>0</v>
      </c>
      <c r="H49" s="39">
        <v>0</v>
      </c>
      <c r="I49" s="46">
        <v>0</v>
      </c>
      <c r="J49" s="39">
        <v>0</v>
      </c>
      <c r="K49" s="39">
        <v>0</v>
      </c>
      <c r="L49" s="29">
        <v>0</v>
      </c>
    </row>
    <row r="50" spans="1:12" x14ac:dyDescent="0.25">
      <c r="A50" s="452"/>
      <c r="B50" s="455"/>
      <c r="C50" s="460"/>
      <c r="D50" s="102" t="s">
        <v>18</v>
      </c>
      <c r="E50" s="39">
        <f t="shared" si="2"/>
        <v>84892.702010000008</v>
      </c>
      <c r="F50" s="87">
        <v>0</v>
      </c>
      <c r="G50" s="39">
        <v>0</v>
      </c>
      <c r="H50" s="39">
        <v>0</v>
      </c>
      <c r="I50" s="41">
        <f>25031.37-1460.26099</f>
        <v>23571.10901</v>
      </c>
      <c r="J50" s="42">
        <v>17684.593000000001</v>
      </c>
      <c r="K50" s="43">
        <v>3137</v>
      </c>
      <c r="L50" s="29">
        <v>40500</v>
      </c>
    </row>
    <row r="51" spans="1:12" s="40" customFormat="1" x14ac:dyDescent="0.25">
      <c r="A51" s="452"/>
      <c r="B51" s="455"/>
      <c r="C51" s="460" t="s">
        <v>185</v>
      </c>
      <c r="D51" s="102" t="s">
        <v>12</v>
      </c>
      <c r="E51" s="39">
        <f t="shared" si="2"/>
        <v>1430108.9254600001</v>
      </c>
      <c r="F51" s="87">
        <f t="shared" ref="F51:H51" si="15">SUM(F52:F57)</f>
        <v>265344.92694999999</v>
      </c>
      <c r="G51" s="39">
        <f t="shared" si="15"/>
        <v>264161.92694999999</v>
      </c>
      <c r="H51" s="39">
        <f t="shared" si="15"/>
        <v>264161.92694999999</v>
      </c>
      <c r="I51" s="45">
        <f>SUM(I52:I57)</f>
        <v>482915.05460999999</v>
      </c>
      <c r="J51" s="45">
        <f t="shared" ref="J51:L51" si="16">SUM(J52:J57)</f>
        <v>153525.09</v>
      </c>
      <c r="K51" s="45">
        <f t="shared" si="16"/>
        <v>0</v>
      </c>
      <c r="L51" s="39">
        <f t="shared" si="16"/>
        <v>0</v>
      </c>
    </row>
    <row r="52" spans="1:12" x14ac:dyDescent="0.25">
      <c r="A52" s="452"/>
      <c r="B52" s="455"/>
      <c r="C52" s="460"/>
      <c r="D52" s="102" t="s">
        <v>13</v>
      </c>
      <c r="E52" s="39">
        <f t="shared" si="2"/>
        <v>0</v>
      </c>
      <c r="F52" s="87">
        <v>0</v>
      </c>
      <c r="G52" s="39">
        <v>0</v>
      </c>
      <c r="H52" s="39">
        <v>0</v>
      </c>
      <c r="I52" s="39">
        <v>0</v>
      </c>
      <c r="J52" s="39">
        <v>0</v>
      </c>
      <c r="K52" s="39">
        <v>0</v>
      </c>
      <c r="L52" s="39">
        <v>0</v>
      </c>
    </row>
    <row r="53" spans="1:12" x14ac:dyDescent="0.25">
      <c r="A53" s="452"/>
      <c r="B53" s="455"/>
      <c r="C53" s="460"/>
      <c r="D53" s="102" t="s">
        <v>14</v>
      </c>
      <c r="E53" s="39">
        <f t="shared" si="2"/>
        <v>0</v>
      </c>
      <c r="F53" s="87">
        <v>0</v>
      </c>
      <c r="G53" s="39">
        <v>0</v>
      </c>
      <c r="H53" s="39">
        <v>0</v>
      </c>
      <c r="I53" s="38">
        <v>0</v>
      </c>
      <c r="J53" s="38">
        <v>0</v>
      </c>
      <c r="K53" s="38">
        <v>0</v>
      </c>
      <c r="L53" s="38">
        <v>0</v>
      </c>
    </row>
    <row r="54" spans="1:12" x14ac:dyDescent="0.25">
      <c r="A54" s="452"/>
      <c r="B54" s="455"/>
      <c r="C54" s="460"/>
      <c r="D54" s="102" t="s">
        <v>145</v>
      </c>
      <c r="E54" s="39">
        <f t="shared" si="2"/>
        <v>814471.90850999998</v>
      </c>
      <c r="F54" s="87">
        <f>284161.92695-18817</f>
        <v>265344.92694999999</v>
      </c>
      <c r="G54" s="39">
        <v>264161.92694999999</v>
      </c>
      <c r="H54" s="39">
        <f>264161.92695</f>
        <v>264161.92694999999</v>
      </c>
      <c r="I54" s="39">
        <f>12050+8753.12766</f>
        <v>20803.127659999998</v>
      </c>
      <c r="J54" s="38">
        <v>0</v>
      </c>
      <c r="K54" s="38">
        <v>0</v>
      </c>
      <c r="L54" s="38">
        <v>0</v>
      </c>
    </row>
    <row r="55" spans="1:12" ht="30" x14ac:dyDescent="0.25">
      <c r="A55" s="452"/>
      <c r="B55" s="455"/>
      <c r="C55" s="460"/>
      <c r="D55" s="100" t="s">
        <v>94</v>
      </c>
      <c r="E55" s="39">
        <f t="shared" si="2"/>
        <v>0</v>
      </c>
      <c r="F55" s="87">
        <v>0</v>
      </c>
      <c r="G55" s="39">
        <v>0</v>
      </c>
      <c r="H55" s="39">
        <v>0</v>
      </c>
      <c r="I55" s="38">
        <v>0</v>
      </c>
      <c r="J55" s="38">
        <v>0</v>
      </c>
      <c r="K55" s="38">
        <v>0</v>
      </c>
      <c r="L55" s="38">
        <v>0</v>
      </c>
    </row>
    <row r="56" spans="1:12" x14ac:dyDescent="0.25">
      <c r="A56" s="452"/>
      <c r="B56" s="455"/>
      <c r="C56" s="460"/>
      <c r="D56" s="100" t="s">
        <v>93</v>
      </c>
      <c r="E56" s="39">
        <f t="shared" si="2"/>
        <v>0</v>
      </c>
      <c r="F56" s="87">
        <v>0</v>
      </c>
      <c r="G56" s="39">
        <v>0</v>
      </c>
      <c r="H56" s="39">
        <v>0</v>
      </c>
      <c r="I56" s="38">
        <v>0</v>
      </c>
      <c r="J56" s="38">
        <v>0</v>
      </c>
      <c r="K56" s="38">
        <v>0</v>
      </c>
      <c r="L56" s="38">
        <v>0</v>
      </c>
    </row>
    <row r="57" spans="1:12" x14ac:dyDescent="0.25">
      <c r="A57" s="453"/>
      <c r="B57" s="456"/>
      <c r="C57" s="460"/>
      <c r="D57" s="102" t="s">
        <v>18</v>
      </c>
      <c r="E57" s="39">
        <f t="shared" si="2"/>
        <v>615637.01694999996</v>
      </c>
      <c r="F57" s="87">
        <v>0</v>
      </c>
      <c r="G57" s="39">
        <v>0</v>
      </c>
      <c r="H57" s="44">
        <v>0</v>
      </c>
      <c r="I57" s="39">
        <f>264161.92695+197950</f>
        <v>462111.92694999999</v>
      </c>
      <c r="J57" s="39">
        <v>153525.09</v>
      </c>
      <c r="K57" s="39">
        <v>0</v>
      </c>
      <c r="L57" s="39">
        <v>0</v>
      </c>
    </row>
    <row r="58" spans="1:12" x14ac:dyDescent="0.25">
      <c r="A58" s="445" t="s">
        <v>133</v>
      </c>
      <c r="B58" s="446" t="s">
        <v>193</v>
      </c>
      <c r="C58" s="448" t="s">
        <v>135</v>
      </c>
      <c r="D58" s="102" t="s">
        <v>12</v>
      </c>
      <c r="E58" s="39">
        <f t="shared" ref="E58:E64" si="17">SUM(F58:L58)</f>
        <v>2606.6852699999999</v>
      </c>
      <c r="F58" s="87">
        <f t="shared" ref="F58:H58" si="18">SUM(F59:F64)</f>
        <v>1167.1500000000001</v>
      </c>
      <c r="G58" s="39">
        <f t="shared" si="18"/>
        <v>485.97599999999994</v>
      </c>
      <c r="H58" s="39">
        <f t="shared" si="18"/>
        <v>953.55926999999997</v>
      </c>
      <c r="I58" s="39">
        <f>SUM(I59:I64)</f>
        <v>0</v>
      </c>
      <c r="J58" s="39">
        <f t="shared" ref="J58:L58" si="19">SUM(J59:J64)</f>
        <v>0</v>
      </c>
      <c r="K58" s="39">
        <f t="shared" si="19"/>
        <v>0</v>
      </c>
      <c r="L58" s="39">
        <f t="shared" si="19"/>
        <v>0</v>
      </c>
    </row>
    <row r="59" spans="1:12" x14ac:dyDescent="0.25">
      <c r="A59" s="445"/>
      <c r="B59" s="446"/>
      <c r="C59" s="449"/>
      <c r="D59" s="102" t="s">
        <v>13</v>
      </c>
      <c r="E59" s="39">
        <f t="shared" si="17"/>
        <v>0</v>
      </c>
      <c r="F59" s="87">
        <v>0</v>
      </c>
      <c r="G59" s="39">
        <v>0</v>
      </c>
      <c r="H59" s="39">
        <v>0</v>
      </c>
      <c r="I59" s="39">
        <v>0</v>
      </c>
      <c r="J59" s="39">
        <v>0</v>
      </c>
      <c r="K59" s="39">
        <v>0</v>
      </c>
      <c r="L59" s="39">
        <v>0</v>
      </c>
    </row>
    <row r="60" spans="1:12" x14ac:dyDescent="0.25">
      <c r="A60" s="445"/>
      <c r="B60" s="446"/>
      <c r="C60" s="449"/>
      <c r="D60" s="102" t="s">
        <v>14</v>
      </c>
      <c r="E60" s="46">
        <f t="shared" si="17"/>
        <v>0</v>
      </c>
      <c r="F60" s="87">
        <f>4668.6-4668.6</f>
        <v>0</v>
      </c>
      <c r="G60" s="39"/>
      <c r="H60" s="39"/>
      <c r="I60" s="39">
        <v>0</v>
      </c>
      <c r="J60" s="39"/>
      <c r="K60" s="39">
        <v>0</v>
      </c>
      <c r="L60" s="39">
        <v>0</v>
      </c>
    </row>
    <row r="61" spans="1:12" x14ac:dyDescent="0.25">
      <c r="A61" s="445"/>
      <c r="B61" s="446"/>
      <c r="C61" s="449"/>
      <c r="D61" s="102" t="s">
        <v>15</v>
      </c>
      <c r="E61" s="46">
        <f t="shared" si="17"/>
        <v>2606.6852699999999</v>
      </c>
      <c r="F61" s="88">
        <f>1167.15</f>
        <v>1167.1500000000001</v>
      </c>
      <c r="G61" s="28">
        <f>828.43-342.454</f>
        <v>485.97599999999994</v>
      </c>
      <c r="H61" s="28">
        <f>603.55927+350</f>
        <v>953.55926999999997</v>
      </c>
      <c r="I61" s="29">
        <v>0</v>
      </c>
      <c r="J61" s="39"/>
      <c r="K61" s="39">
        <v>0</v>
      </c>
      <c r="L61" s="39">
        <v>0</v>
      </c>
    </row>
    <row r="62" spans="1:12" ht="30" x14ac:dyDescent="0.25">
      <c r="A62" s="445"/>
      <c r="B62" s="446"/>
      <c r="C62" s="449"/>
      <c r="D62" s="100" t="s">
        <v>94</v>
      </c>
      <c r="E62" s="46">
        <f t="shared" si="17"/>
        <v>0</v>
      </c>
      <c r="F62" s="89">
        <v>0</v>
      </c>
      <c r="G62" s="45">
        <v>0</v>
      </c>
      <c r="H62" s="45">
        <v>0</v>
      </c>
      <c r="I62" s="39">
        <v>0</v>
      </c>
      <c r="J62" s="39">
        <v>0</v>
      </c>
      <c r="K62" s="39">
        <v>0</v>
      </c>
      <c r="L62" s="39">
        <v>0</v>
      </c>
    </row>
    <row r="63" spans="1:12" x14ac:dyDescent="0.25">
      <c r="A63" s="445"/>
      <c r="B63" s="446"/>
      <c r="C63" s="449"/>
      <c r="D63" s="100" t="s">
        <v>93</v>
      </c>
      <c r="E63" s="39">
        <f t="shared" si="17"/>
        <v>0</v>
      </c>
      <c r="F63" s="87">
        <v>0</v>
      </c>
      <c r="G63" s="39">
        <v>0</v>
      </c>
      <c r="H63" s="39">
        <v>0</v>
      </c>
      <c r="I63" s="39">
        <v>0</v>
      </c>
      <c r="J63" s="39">
        <v>0</v>
      </c>
      <c r="K63" s="39">
        <v>0</v>
      </c>
      <c r="L63" s="39">
        <v>0</v>
      </c>
    </row>
    <row r="64" spans="1:12" x14ac:dyDescent="0.25">
      <c r="A64" s="445"/>
      <c r="B64" s="446"/>
      <c r="C64" s="450"/>
      <c r="D64" s="102" t="s">
        <v>18</v>
      </c>
      <c r="E64" s="39">
        <f t="shared" si="17"/>
        <v>0</v>
      </c>
      <c r="F64" s="87">
        <v>0</v>
      </c>
      <c r="G64" s="39">
        <v>0</v>
      </c>
      <c r="H64" s="39">
        <v>0</v>
      </c>
      <c r="I64" s="39">
        <v>0</v>
      </c>
      <c r="J64" s="39">
        <v>0</v>
      </c>
      <c r="K64" s="39">
        <v>0</v>
      </c>
      <c r="L64" s="39">
        <v>0</v>
      </c>
    </row>
    <row r="65" spans="1:12" x14ac:dyDescent="0.25">
      <c r="A65" s="445" t="s">
        <v>210</v>
      </c>
      <c r="B65" s="446" t="s">
        <v>203</v>
      </c>
      <c r="C65" s="447" t="s">
        <v>204</v>
      </c>
      <c r="D65" s="102" t="s">
        <v>12</v>
      </c>
      <c r="E65" s="39">
        <f>SUM(F65:L65)</f>
        <v>14220.125</v>
      </c>
      <c r="F65" s="39">
        <f t="shared" ref="F65:H65" si="20">SUM(F66:F71)</f>
        <v>0</v>
      </c>
      <c r="G65" s="39">
        <f t="shared" si="20"/>
        <v>0</v>
      </c>
      <c r="H65" s="39">
        <f t="shared" si="20"/>
        <v>0</v>
      </c>
      <c r="I65" s="39">
        <f>SUM(I66:I71)</f>
        <v>5000</v>
      </c>
      <c r="J65" s="39">
        <f t="shared" ref="J65:L65" si="21">SUM(J66:J71)</f>
        <v>9220.125</v>
      </c>
      <c r="K65" s="38">
        <f t="shared" si="21"/>
        <v>0</v>
      </c>
      <c r="L65" s="38">
        <f t="shared" si="21"/>
        <v>0</v>
      </c>
    </row>
    <row r="66" spans="1:12" x14ac:dyDescent="0.25">
      <c r="A66" s="445"/>
      <c r="B66" s="446"/>
      <c r="C66" s="447"/>
      <c r="D66" s="102" t="s">
        <v>13</v>
      </c>
      <c r="E66" s="39">
        <f t="shared" ref="E66:E71" si="22">SUM(F66:L66)</f>
        <v>8120</v>
      </c>
      <c r="F66" s="39">
        <v>0</v>
      </c>
      <c r="G66" s="39">
        <v>0</v>
      </c>
      <c r="H66" s="39">
        <v>0</v>
      </c>
      <c r="I66" s="39">
        <v>5000</v>
      </c>
      <c r="J66" s="44">
        <v>3120</v>
      </c>
      <c r="K66" s="38">
        <v>0</v>
      </c>
      <c r="L66" s="38">
        <v>0</v>
      </c>
    </row>
    <row r="67" spans="1:12" x14ac:dyDescent="0.25">
      <c r="A67" s="445"/>
      <c r="B67" s="446"/>
      <c r="C67" s="447"/>
      <c r="D67" s="102" t="s">
        <v>14</v>
      </c>
      <c r="E67" s="39">
        <f t="shared" si="22"/>
        <v>4880.1000000000004</v>
      </c>
      <c r="F67" s="39">
        <v>0</v>
      </c>
      <c r="G67" s="39">
        <v>0</v>
      </c>
      <c r="H67" s="39">
        <v>0</v>
      </c>
      <c r="I67" s="39">
        <v>0</v>
      </c>
      <c r="J67" s="39">
        <v>4880.1000000000004</v>
      </c>
      <c r="K67" s="39">
        <v>0</v>
      </c>
      <c r="L67" s="39">
        <v>0</v>
      </c>
    </row>
    <row r="68" spans="1:12" x14ac:dyDescent="0.25">
      <c r="A68" s="445"/>
      <c r="B68" s="446"/>
      <c r="C68" s="447"/>
      <c r="D68" s="102" t="s">
        <v>15</v>
      </c>
      <c r="E68" s="39">
        <f t="shared" si="22"/>
        <v>1220.0250000000001</v>
      </c>
      <c r="F68" s="39">
        <v>0</v>
      </c>
      <c r="G68" s="39">
        <v>0</v>
      </c>
      <c r="H68" s="39">
        <v>0</v>
      </c>
      <c r="I68" s="39">
        <v>0</v>
      </c>
      <c r="J68" s="39">
        <v>1220.0250000000001</v>
      </c>
      <c r="K68" s="39">
        <v>0</v>
      </c>
      <c r="L68" s="39">
        <v>0</v>
      </c>
    </row>
    <row r="69" spans="1:12" ht="30" x14ac:dyDescent="0.25">
      <c r="A69" s="445"/>
      <c r="B69" s="446"/>
      <c r="C69" s="447"/>
      <c r="D69" s="100" t="s">
        <v>92</v>
      </c>
      <c r="E69" s="39">
        <f t="shared" si="22"/>
        <v>0</v>
      </c>
      <c r="F69" s="39">
        <v>0</v>
      </c>
      <c r="G69" s="39">
        <v>0</v>
      </c>
      <c r="H69" s="39">
        <v>0</v>
      </c>
      <c r="I69" s="39">
        <v>0</v>
      </c>
      <c r="J69" s="39">
        <v>0</v>
      </c>
      <c r="K69" s="39">
        <v>0</v>
      </c>
      <c r="L69" s="39">
        <v>0</v>
      </c>
    </row>
    <row r="70" spans="1:12" x14ac:dyDescent="0.25">
      <c r="A70" s="445"/>
      <c r="B70" s="446"/>
      <c r="C70" s="447"/>
      <c r="D70" s="100" t="s">
        <v>93</v>
      </c>
      <c r="E70" s="39">
        <f t="shared" si="22"/>
        <v>0</v>
      </c>
      <c r="F70" s="39">
        <v>0</v>
      </c>
      <c r="G70" s="39">
        <v>0</v>
      </c>
      <c r="H70" s="39">
        <v>0</v>
      </c>
      <c r="I70" s="39">
        <v>0</v>
      </c>
      <c r="J70" s="39">
        <v>0</v>
      </c>
      <c r="K70" s="39">
        <v>0</v>
      </c>
      <c r="L70" s="39">
        <v>0</v>
      </c>
    </row>
    <row r="71" spans="1:12" x14ac:dyDescent="0.25">
      <c r="A71" s="445"/>
      <c r="B71" s="446"/>
      <c r="C71" s="447"/>
      <c r="D71" s="102" t="s">
        <v>18</v>
      </c>
      <c r="E71" s="39">
        <f t="shared" si="22"/>
        <v>0</v>
      </c>
      <c r="F71" s="39">
        <v>0</v>
      </c>
      <c r="G71" s="39">
        <v>0</v>
      </c>
      <c r="H71" s="39">
        <v>0</v>
      </c>
      <c r="I71" s="39">
        <v>0</v>
      </c>
      <c r="J71" s="39">
        <v>0</v>
      </c>
      <c r="K71" s="39">
        <v>0</v>
      </c>
      <c r="L71" s="39">
        <v>0</v>
      </c>
    </row>
    <row r="72" spans="1:12" s="40" customFormat="1" x14ac:dyDescent="0.25">
      <c r="A72" s="461" t="s">
        <v>95</v>
      </c>
      <c r="B72" s="462"/>
      <c r="C72" s="463"/>
      <c r="D72" s="102" t="s">
        <v>12</v>
      </c>
      <c r="E72" s="39">
        <f>SUM(F72:L72)</f>
        <v>1560379.0160600001</v>
      </c>
      <c r="F72" s="87">
        <f t="shared" ref="F72:H72" si="23">SUM(F73:F78)</f>
        <v>280659.76495000004</v>
      </c>
      <c r="G72" s="39">
        <f t="shared" si="23"/>
        <v>274192.78909000003</v>
      </c>
      <c r="H72" s="39">
        <f t="shared" si="23"/>
        <v>268165.85441000003</v>
      </c>
      <c r="I72" s="39">
        <f>SUM(I73:I78)</f>
        <v>513093.79960999999</v>
      </c>
      <c r="J72" s="39">
        <f t="shared" ref="J72:L72" si="24">SUM(J73:J78)</f>
        <v>180629.80799999999</v>
      </c>
      <c r="K72" s="39">
        <f t="shared" si="24"/>
        <v>3137</v>
      </c>
      <c r="L72" s="39">
        <f t="shared" si="24"/>
        <v>40500</v>
      </c>
    </row>
    <row r="73" spans="1:12" s="40" customFormat="1" x14ac:dyDescent="0.25">
      <c r="A73" s="464"/>
      <c r="B73" s="465"/>
      <c r="C73" s="466"/>
      <c r="D73" s="102" t="s">
        <v>13</v>
      </c>
      <c r="E73" s="39">
        <f t="shared" si="2"/>
        <v>8120</v>
      </c>
      <c r="F73" s="87">
        <f>F66+F17+F31+F38+F59+F24</f>
        <v>0</v>
      </c>
      <c r="G73" s="39">
        <f>G66+G17+G31+G38+G59+G24</f>
        <v>0</v>
      </c>
      <c r="H73" s="39">
        <f t="shared" ref="H73:L73" si="25">H66+H17+H31+H38+H59+H24</f>
        <v>0</v>
      </c>
      <c r="I73" s="39">
        <f t="shared" si="25"/>
        <v>5000</v>
      </c>
      <c r="J73" s="39">
        <f t="shared" si="25"/>
        <v>3120</v>
      </c>
      <c r="K73" s="39">
        <f t="shared" si="25"/>
        <v>0</v>
      </c>
      <c r="L73" s="39">
        <f t="shared" si="25"/>
        <v>0</v>
      </c>
    </row>
    <row r="74" spans="1:12" s="40" customFormat="1" x14ac:dyDescent="0.25">
      <c r="A74" s="464"/>
      <c r="B74" s="465"/>
      <c r="C74" s="466"/>
      <c r="D74" s="102" t="s">
        <v>14</v>
      </c>
      <c r="E74" s="39">
        <f t="shared" si="2"/>
        <v>14924.6</v>
      </c>
      <c r="F74" s="87">
        <f>F11+F18+F32+F39+F60+F25</f>
        <v>5644.5</v>
      </c>
      <c r="G74" s="39">
        <f t="shared" ref="G74:L78" si="26">G67+G18+G32+G39+G60+G25</f>
        <v>4200</v>
      </c>
      <c r="H74" s="39">
        <f t="shared" si="26"/>
        <v>200</v>
      </c>
      <c r="I74" s="39">
        <f t="shared" si="26"/>
        <v>0</v>
      </c>
      <c r="J74" s="39">
        <f t="shared" si="26"/>
        <v>4880.1000000000004</v>
      </c>
      <c r="K74" s="39">
        <f t="shared" si="26"/>
        <v>0</v>
      </c>
      <c r="L74" s="39">
        <f t="shared" si="26"/>
        <v>0</v>
      </c>
    </row>
    <row r="75" spans="1:12" s="40" customFormat="1" x14ac:dyDescent="0.25">
      <c r="A75" s="464"/>
      <c r="B75" s="465"/>
      <c r="C75" s="466"/>
      <c r="D75" s="102" t="s">
        <v>15</v>
      </c>
      <c r="E75" s="39">
        <f t="shared" si="2"/>
        <v>836804.69710000011</v>
      </c>
      <c r="F75" s="87">
        <f>F12+F19+F33+F40+F61+F26</f>
        <v>275015.26495000004</v>
      </c>
      <c r="G75" s="39">
        <f t="shared" si="26"/>
        <v>269992.78909000003</v>
      </c>
      <c r="H75" s="39">
        <f t="shared" si="26"/>
        <v>267965.85441000003</v>
      </c>
      <c r="I75" s="39">
        <f t="shared" si="26"/>
        <v>22410.763649999997</v>
      </c>
      <c r="J75" s="39">
        <f t="shared" si="26"/>
        <v>1420.0250000000001</v>
      </c>
      <c r="K75" s="39">
        <f t="shared" si="26"/>
        <v>0</v>
      </c>
      <c r="L75" s="39">
        <f t="shared" si="26"/>
        <v>0</v>
      </c>
    </row>
    <row r="76" spans="1:12" s="40" customFormat="1" ht="30" x14ac:dyDescent="0.25">
      <c r="A76" s="464"/>
      <c r="B76" s="465"/>
      <c r="C76" s="466"/>
      <c r="D76" s="100" t="s">
        <v>94</v>
      </c>
      <c r="E76" s="39">
        <f t="shared" si="2"/>
        <v>0</v>
      </c>
      <c r="F76" s="87">
        <f>F13+F20+F34+F41+F62+F27</f>
        <v>0</v>
      </c>
      <c r="G76" s="39">
        <f t="shared" si="26"/>
        <v>0</v>
      </c>
      <c r="H76" s="39">
        <f t="shared" si="26"/>
        <v>0</v>
      </c>
      <c r="I76" s="39">
        <f t="shared" si="26"/>
        <v>0</v>
      </c>
      <c r="J76" s="39">
        <f t="shared" si="26"/>
        <v>0</v>
      </c>
      <c r="K76" s="39">
        <f t="shared" si="26"/>
        <v>0</v>
      </c>
      <c r="L76" s="39">
        <f t="shared" si="26"/>
        <v>0</v>
      </c>
    </row>
    <row r="77" spans="1:12" s="40" customFormat="1" x14ac:dyDescent="0.25">
      <c r="A77" s="464"/>
      <c r="B77" s="465"/>
      <c r="C77" s="466"/>
      <c r="D77" s="100" t="s">
        <v>93</v>
      </c>
      <c r="E77" s="39">
        <f t="shared" si="2"/>
        <v>0</v>
      </c>
      <c r="F77" s="87">
        <f>F14+F21+F35+F42+F63+F28</f>
        <v>0</v>
      </c>
      <c r="G77" s="39">
        <f t="shared" si="26"/>
        <v>0</v>
      </c>
      <c r="H77" s="39">
        <f t="shared" si="26"/>
        <v>0</v>
      </c>
      <c r="I77" s="39">
        <f t="shared" si="26"/>
        <v>0</v>
      </c>
      <c r="J77" s="39">
        <f t="shared" si="26"/>
        <v>0</v>
      </c>
      <c r="K77" s="39">
        <f t="shared" si="26"/>
        <v>0</v>
      </c>
      <c r="L77" s="39">
        <f t="shared" si="26"/>
        <v>0</v>
      </c>
    </row>
    <row r="78" spans="1:12" s="40" customFormat="1" x14ac:dyDescent="0.25">
      <c r="A78" s="467"/>
      <c r="B78" s="468"/>
      <c r="C78" s="469"/>
      <c r="D78" s="102" t="s">
        <v>18</v>
      </c>
      <c r="E78" s="39">
        <f t="shared" si="2"/>
        <v>700529.71895999997</v>
      </c>
      <c r="F78" s="87">
        <f>F15+F22+F36+F43+F64+F29</f>
        <v>0</v>
      </c>
      <c r="G78" s="39">
        <f t="shared" si="26"/>
        <v>0</v>
      </c>
      <c r="H78" s="39">
        <f t="shared" si="26"/>
        <v>0</v>
      </c>
      <c r="I78" s="39">
        <f t="shared" si="26"/>
        <v>485683.03596000001</v>
      </c>
      <c r="J78" s="39">
        <f t="shared" si="26"/>
        <v>171209.68299999999</v>
      </c>
      <c r="K78" s="39">
        <f t="shared" si="26"/>
        <v>3137</v>
      </c>
      <c r="L78" s="39">
        <f t="shared" si="26"/>
        <v>40500</v>
      </c>
    </row>
    <row r="79" spans="1:12" s="40" customFormat="1" x14ac:dyDescent="0.25">
      <c r="A79" s="444" t="s">
        <v>240</v>
      </c>
      <c r="B79" s="444"/>
      <c r="C79" s="444"/>
      <c r="D79" s="444"/>
      <c r="E79" s="444"/>
      <c r="F79" s="444"/>
      <c r="G79" s="444"/>
      <c r="H79" s="444"/>
      <c r="I79" s="444"/>
      <c r="J79" s="444"/>
      <c r="K79" s="444"/>
      <c r="L79" s="444"/>
    </row>
    <row r="80" spans="1:12" x14ac:dyDescent="0.25">
      <c r="A80" s="445"/>
      <c r="B80" s="446" t="s">
        <v>194</v>
      </c>
      <c r="C80" s="448" t="s">
        <v>184</v>
      </c>
      <c r="D80" s="102" t="s">
        <v>12</v>
      </c>
      <c r="E80" s="38">
        <f t="shared" ref="E80:E170" si="27">SUM(F80:L80)</f>
        <v>0</v>
      </c>
      <c r="F80" s="38">
        <f t="shared" ref="F80:H80" si="28">SUM(F81:F86)</f>
        <v>0</v>
      </c>
      <c r="G80" s="38">
        <f t="shared" si="28"/>
        <v>0</v>
      </c>
      <c r="H80" s="38">
        <f t="shared" si="28"/>
        <v>0</v>
      </c>
      <c r="I80" s="38">
        <f>SUM(I81:I86)</f>
        <v>0</v>
      </c>
      <c r="J80" s="38">
        <f t="shared" ref="J80:L80" si="29">SUM(J81:J86)</f>
        <v>0</v>
      </c>
      <c r="K80" s="38">
        <f t="shared" si="29"/>
        <v>0</v>
      </c>
      <c r="L80" s="38">
        <f t="shared" si="29"/>
        <v>0</v>
      </c>
    </row>
    <row r="81" spans="1:12" x14ac:dyDescent="0.25">
      <c r="A81" s="445"/>
      <c r="B81" s="446"/>
      <c r="C81" s="449"/>
      <c r="D81" s="102" t="s">
        <v>13</v>
      </c>
      <c r="E81" s="38">
        <f t="shared" si="27"/>
        <v>0</v>
      </c>
      <c r="F81" s="39">
        <v>0</v>
      </c>
      <c r="G81" s="39">
        <v>0</v>
      </c>
      <c r="H81" s="39">
        <v>0</v>
      </c>
      <c r="I81" s="39">
        <v>0</v>
      </c>
      <c r="J81" s="39">
        <v>0</v>
      </c>
      <c r="K81" s="39">
        <v>0</v>
      </c>
      <c r="L81" s="39">
        <v>0</v>
      </c>
    </row>
    <row r="82" spans="1:12" x14ac:dyDescent="0.25">
      <c r="A82" s="445"/>
      <c r="B82" s="446"/>
      <c r="C82" s="449"/>
      <c r="D82" s="102" t="s">
        <v>14</v>
      </c>
      <c r="E82" s="38">
        <f t="shared" si="27"/>
        <v>0</v>
      </c>
      <c r="F82" s="39">
        <v>0</v>
      </c>
      <c r="G82" s="39">
        <v>0</v>
      </c>
      <c r="H82" s="39">
        <v>0</v>
      </c>
      <c r="I82" s="39">
        <v>0</v>
      </c>
      <c r="J82" s="39">
        <v>0</v>
      </c>
      <c r="K82" s="39">
        <v>0</v>
      </c>
      <c r="L82" s="39">
        <v>0</v>
      </c>
    </row>
    <row r="83" spans="1:12" x14ac:dyDescent="0.25">
      <c r="A83" s="445"/>
      <c r="B83" s="446"/>
      <c r="C83" s="449"/>
      <c r="D83" s="102" t="s">
        <v>15</v>
      </c>
      <c r="E83" s="38">
        <f t="shared" si="27"/>
        <v>0</v>
      </c>
      <c r="F83" s="39">
        <v>0</v>
      </c>
      <c r="G83" s="39">
        <v>0</v>
      </c>
      <c r="H83" s="39">
        <v>0</v>
      </c>
      <c r="I83" s="39">
        <v>0</v>
      </c>
      <c r="J83" s="39">
        <v>0</v>
      </c>
      <c r="K83" s="39">
        <v>0</v>
      </c>
      <c r="L83" s="39">
        <v>0</v>
      </c>
    </row>
    <row r="84" spans="1:12" ht="30" x14ac:dyDescent="0.25">
      <c r="A84" s="445"/>
      <c r="B84" s="446"/>
      <c r="C84" s="449"/>
      <c r="D84" s="100" t="s">
        <v>92</v>
      </c>
      <c r="E84" s="38">
        <f t="shared" si="27"/>
        <v>0</v>
      </c>
      <c r="F84" s="39">
        <v>0</v>
      </c>
      <c r="G84" s="39">
        <v>0</v>
      </c>
      <c r="H84" s="39">
        <v>0</v>
      </c>
      <c r="I84" s="39">
        <v>0</v>
      </c>
      <c r="J84" s="39">
        <v>0</v>
      </c>
      <c r="K84" s="39">
        <v>0</v>
      </c>
      <c r="L84" s="39">
        <v>0</v>
      </c>
    </row>
    <row r="85" spans="1:12" x14ac:dyDescent="0.25">
      <c r="A85" s="445"/>
      <c r="B85" s="446"/>
      <c r="C85" s="449"/>
      <c r="D85" s="100" t="s">
        <v>93</v>
      </c>
      <c r="E85" s="38">
        <f t="shared" si="27"/>
        <v>0</v>
      </c>
      <c r="F85" s="39">
        <v>0</v>
      </c>
      <c r="G85" s="39">
        <v>0</v>
      </c>
      <c r="H85" s="39">
        <v>0</v>
      </c>
      <c r="I85" s="39">
        <v>0</v>
      </c>
      <c r="J85" s="39">
        <v>0</v>
      </c>
      <c r="K85" s="39">
        <v>0</v>
      </c>
      <c r="L85" s="39">
        <v>0</v>
      </c>
    </row>
    <row r="86" spans="1:12" x14ac:dyDescent="0.25">
      <c r="A86" s="445"/>
      <c r="B86" s="446"/>
      <c r="C86" s="450"/>
      <c r="D86" s="102" t="s">
        <v>18</v>
      </c>
      <c r="E86" s="38">
        <f t="shared" si="27"/>
        <v>0</v>
      </c>
      <c r="F86" s="39">
        <v>0</v>
      </c>
      <c r="G86" s="39">
        <v>0</v>
      </c>
      <c r="H86" s="39">
        <v>0</v>
      </c>
      <c r="I86" s="39">
        <v>0</v>
      </c>
      <c r="J86" s="39">
        <v>0</v>
      </c>
      <c r="K86" s="39">
        <v>0</v>
      </c>
      <c r="L86" s="39">
        <v>0</v>
      </c>
    </row>
    <row r="87" spans="1:12" x14ac:dyDescent="0.25">
      <c r="A87" s="451" t="s">
        <v>121</v>
      </c>
      <c r="B87" s="470" t="s">
        <v>195</v>
      </c>
      <c r="C87" s="448" t="s">
        <v>8</v>
      </c>
      <c r="D87" s="102" t="s">
        <v>12</v>
      </c>
      <c r="E87" s="39">
        <f t="shared" si="27"/>
        <v>826786.62828105129</v>
      </c>
      <c r="F87" s="87">
        <f t="shared" ref="F87:H87" si="30">SUM(F88:F93)</f>
        <v>56142.819049999998</v>
      </c>
      <c r="G87" s="39">
        <f t="shared" si="30"/>
        <v>62916.400629999996</v>
      </c>
      <c r="H87" s="39">
        <f t="shared" si="30"/>
        <v>65152.898359999999</v>
      </c>
      <c r="I87" s="39">
        <f>SUM(I88:I93)</f>
        <v>70935.736390000005</v>
      </c>
      <c r="J87" s="39">
        <f t="shared" ref="J87:L87" si="31">SUM(J88:J93)</f>
        <v>71104.703287000011</v>
      </c>
      <c r="K87" s="39">
        <f t="shared" si="31"/>
        <v>71316.270322880009</v>
      </c>
      <c r="L87" s="39">
        <f t="shared" si="31"/>
        <v>429217.80024117127</v>
      </c>
    </row>
    <row r="88" spans="1:12" x14ac:dyDescent="0.25">
      <c r="A88" s="452"/>
      <c r="B88" s="471"/>
      <c r="C88" s="449"/>
      <c r="D88" s="102" t="s">
        <v>13</v>
      </c>
      <c r="E88" s="39">
        <f t="shared" si="27"/>
        <v>0</v>
      </c>
      <c r="F88" s="87">
        <v>0</v>
      </c>
      <c r="G88" s="39">
        <v>0</v>
      </c>
      <c r="H88" s="39">
        <v>0</v>
      </c>
      <c r="I88" s="39">
        <v>0</v>
      </c>
      <c r="J88" s="39">
        <v>0</v>
      </c>
      <c r="K88" s="39">
        <v>0</v>
      </c>
      <c r="L88" s="39">
        <v>0</v>
      </c>
    </row>
    <row r="89" spans="1:12" x14ac:dyDescent="0.25">
      <c r="A89" s="452"/>
      <c r="B89" s="471"/>
      <c r="C89" s="449"/>
      <c r="D89" s="102" t="s">
        <v>14</v>
      </c>
      <c r="E89" s="39">
        <f t="shared" si="27"/>
        <v>0</v>
      </c>
      <c r="F89" s="87">
        <v>0</v>
      </c>
      <c r="G89" s="39">
        <v>0</v>
      </c>
      <c r="H89" s="39">
        <v>0</v>
      </c>
      <c r="I89" s="39">
        <v>0</v>
      </c>
      <c r="J89" s="39">
        <v>0</v>
      </c>
      <c r="K89" s="39">
        <v>0</v>
      </c>
      <c r="L89" s="39">
        <v>0</v>
      </c>
    </row>
    <row r="90" spans="1:12" x14ac:dyDescent="0.25">
      <c r="A90" s="452"/>
      <c r="B90" s="471"/>
      <c r="C90" s="449"/>
      <c r="D90" s="102" t="s">
        <v>15</v>
      </c>
      <c r="E90" s="39">
        <f t="shared" si="27"/>
        <v>776551.86455000006</v>
      </c>
      <c r="F90" s="87">
        <f>59077.36135-145-3150.5423+361</f>
        <v>56142.819049999998</v>
      </c>
      <c r="G90" s="39">
        <f>62317.64692+342.454+256.29971</f>
        <v>62916.400629999996</v>
      </c>
      <c r="H90" s="39">
        <f>63212.49836+1940.4</f>
        <v>65152.898359999999</v>
      </c>
      <c r="I90" s="39">
        <v>65815.527390000003</v>
      </c>
      <c r="J90" s="39">
        <v>65815.527390000003</v>
      </c>
      <c r="K90" s="39">
        <v>65815.527390000003</v>
      </c>
      <c r="L90" s="39">
        <f>K90*6</f>
        <v>394893.16434000002</v>
      </c>
    </row>
    <row r="91" spans="1:12" ht="30" x14ac:dyDescent="0.25">
      <c r="A91" s="452"/>
      <c r="B91" s="471"/>
      <c r="C91" s="449"/>
      <c r="D91" s="100" t="s">
        <v>94</v>
      </c>
      <c r="E91" s="39">
        <f t="shared" si="27"/>
        <v>0</v>
      </c>
      <c r="F91" s="87">
        <v>0</v>
      </c>
      <c r="G91" s="39">
        <v>0</v>
      </c>
      <c r="H91" s="39">
        <v>0</v>
      </c>
      <c r="I91" s="39">
        <v>0</v>
      </c>
      <c r="J91" s="39">
        <v>0</v>
      </c>
      <c r="K91" s="39">
        <v>0</v>
      </c>
      <c r="L91" s="39">
        <v>0</v>
      </c>
    </row>
    <row r="92" spans="1:12" x14ac:dyDescent="0.25">
      <c r="A92" s="452"/>
      <c r="B92" s="471"/>
      <c r="C92" s="449"/>
      <c r="D92" s="100" t="s">
        <v>93</v>
      </c>
      <c r="E92" s="39">
        <f t="shared" si="27"/>
        <v>0</v>
      </c>
      <c r="F92" s="87">
        <v>0</v>
      </c>
      <c r="G92" s="39">
        <v>0</v>
      </c>
      <c r="H92" s="39">
        <v>0</v>
      </c>
      <c r="I92" s="39">
        <v>0</v>
      </c>
      <c r="J92" s="73">
        <v>0</v>
      </c>
      <c r="K92" s="73">
        <v>0</v>
      </c>
      <c r="L92" s="73">
        <v>0</v>
      </c>
    </row>
    <row r="93" spans="1:12" x14ac:dyDescent="0.25">
      <c r="A93" s="453"/>
      <c r="B93" s="472"/>
      <c r="C93" s="450"/>
      <c r="D93" s="102" t="s">
        <v>18</v>
      </c>
      <c r="E93" s="39">
        <f t="shared" si="27"/>
        <v>50234.763731051251</v>
      </c>
      <c r="F93" s="87">
        <v>0</v>
      </c>
      <c r="G93" s="39">
        <v>0</v>
      </c>
      <c r="H93" s="39">
        <v>0</v>
      </c>
      <c r="I93" s="46">
        <v>5120.2089999999998</v>
      </c>
      <c r="J93" s="118">
        <f>(I87-J90)*103.3%</f>
        <v>5289.1758970000019</v>
      </c>
      <c r="K93" s="28">
        <f>(J87-K90)*104%</f>
        <v>5500.742932880009</v>
      </c>
      <c r="L93" s="29">
        <f>(K87*6-L90)*104%</f>
        <v>34324.635901171241</v>
      </c>
    </row>
    <row r="94" spans="1:12" s="40" customFormat="1" x14ac:dyDescent="0.25">
      <c r="A94" s="473" t="s">
        <v>122</v>
      </c>
      <c r="B94" s="476" t="s">
        <v>196</v>
      </c>
      <c r="C94" s="479" t="s">
        <v>180</v>
      </c>
      <c r="D94" s="102" t="s">
        <v>12</v>
      </c>
      <c r="E94" s="39">
        <f t="shared" si="27"/>
        <v>2937546.3930172874</v>
      </c>
      <c r="F94" s="87">
        <f t="shared" ref="F94:H94" si="32">SUM(F95:F100)</f>
        <v>204445.37432000003</v>
      </c>
      <c r="G94" s="39">
        <f t="shared" si="32"/>
        <v>218568.31765000001</v>
      </c>
      <c r="H94" s="39">
        <f t="shared" si="32"/>
        <v>200993.15647000002</v>
      </c>
      <c r="I94" s="39">
        <f>SUM(I95:I100)</f>
        <v>244404.61350000001</v>
      </c>
      <c r="J94" s="120">
        <f t="shared" ref="J94:L94" si="33">SUM(J95:J100)</f>
        <v>248995.64749524</v>
      </c>
      <c r="K94" s="120">
        <f t="shared" si="33"/>
        <v>254824.1785462496</v>
      </c>
      <c r="L94" s="74">
        <f t="shared" si="33"/>
        <v>1565315.1050357975</v>
      </c>
    </row>
    <row r="95" spans="1:12" x14ac:dyDescent="0.25">
      <c r="A95" s="474"/>
      <c r="B95" s="477"/>
      <c r="C95" s="480"/>
      <c r="D95" s="102" t="s">
        <v>13</v>
      </c>
      <c r="E95" s="39">
        <f t="shared" si="27"/>
        <v>0</v>
      </c>
      <c r="F95" s="87">
        <f>F102+F109+F116+F123</f>
        <v>0</v>
      </c>
      <c r="G95" s="39">
        <f t="shared" ref="G95:L95" si="34">G102+G109+G116+G123</f>
        <v>0</v>
      </c>
      <c r="H95" s="39">
        <f t="shared" si="34"/>
        <v>0</v>
      </c>
      <c r="I95" s="39">
        <f t="shared" si="34"/>
        <v>0</v>
      </c>
      <c r="J95" s="39">
        <f t="shared" si="34"/>
        <v>0</v>
      </c>
      <c r="K95" s="39">
        <f t="shared" si="34"/>
        <v>0</v>
      </c>
      <c r="L95" s="39">
        <f t="shared" si="34"/>
        <v>0</v>
      </c>
    </row>
    <row r="96" spans="1:12" x14ac:dyDescent="0.25">
      <c r="A96" s="474"/>
      <c r="B96" s="477"/>
      <c r="C96" s="480"/>
      <c r="D96" s="102" t="s">
        <v>14</v>
      </c>
      <c r="E96" s="39">
        <f t="shared" si="27"/>
        <v>473</v>
      </c>
      <c r="F96" s="87">
        <f t="shared" ref="F96:L100" si="35">F103+F110+F117+F124</f>
        <v>330</v>
      </c>
      <c r="G96" s="39">
        <f t="shared" si="35"/>
        <v>143</v>
      </c>
      <c r="H96" s="39">
        <f t="shared" si="35"/>
        <v>0</v>
      </c>
      <c r="I96" s="39">
        <f t="shared" si="35"/>
        <v>0</v>
      </c>
      <c r="J96" s="39">
        <f t="shared" si="35"/>
        <v>0</v>
      </c>
      <c r="K96" s="39">
        <f t="shared" si="35"/>
        <v>0</v>
      </c>
      <c r="L96" s="39">
        <f t="shared" si="35"/>
        <v>0</v>
      </c>
    </row>
    <row r="97" spans="1:12" x14ac:dyDescent="0.25">
      <c r="A97" s="474"/>
      <c r="B97" s="477"/>
      <c r="C97" s="480"/>
      <c r="D97" s="102" t="s">
        <v>15</v>
      </c>
      <c r="E97" s="39">
        <f t="shared" si="27"/>
        <v>1646641.2448700001</v>
      </c>
      <c r="F97" s="87">
        <f t="shared" si="35"/>
        <v>204115.37432000003</v>
      </c>
      <c r="G97" s="39">
        <f t="shared" si="35"/>
        <v>218425.31765000001</v>
      </c>
      <c r="H97" s="39">
        <f t="shared" si="35"/>
        <v>200993.15647000002</v>
      </c>
      <c r="I97" s="39">
        <f t="shared" si="35"/>
        <v>194848.42667000002</v>
      </c>
      <c r="J97" s="39">
        <f t="shared" si="35"/>
        <v>105282.37122</v>
      </c>
      <c r="K97" s="39">
        <f t="shared" si="35"/>
        <v>103282.37122</v>
      </c>
      <c r="L97" s="39">
        <f t="shared" si="35"/>
        <v>619694.22731999995</v>
      </c>
    </row>
    <row r="98" spans="1:12" ht="30" x14ac:dyDescent="0.25">
      <c r="A98" s="474"/>
      <c r="B98" s="477"/>
      <c r="C98" s="480"/>
      <c r="D98" s="100" t="s">
        <v>94</v>
      </c>
      <c r="E98" s="39">
        <f t="shared" si="27"/>
        <v>0</v>
      </c>
      <c r="F98" s="39">
        <f t="shared" si="35"/>
        <v>0</v>
      </c>
      <c r="G98" s="39">
        <f t="shared" si="35"/>
        <v>0</v>
      </c>
      <c r="H98" s="39">
        <f t="shared" si="35"/>
        <v>0</v>
      </c>
      <c r="I98" s="39">
        <f t="shared" si="35"/>
        <v>0</v>
      </c>
      <c r="J98" s="39">
        <f t="shared" si="35"/>
        <v>0</v>
      </c>
      <c r="K98" s="39">
        <f t="shared" si="35"/>
        <v>0</v>
      </c>
      <c r="L98" s="39">
        <f t="shared" si="35"/>
        <v>0</v>
      </c>
    </row>
    <row r="99" spans="1:12" x14ac:dyDescent="0.25">
      <c r="A99" s="474"/>
      <c r="B99" s="477"/>
      <c r="C99" s="480"/>
      <c r="D99" s="100" t="s">
        <v>93</v>
      </c>
      <c r="E99" s="39">
        <f t="shared" si="27"/>
        <v>0</v>
      </c>
      <c r="F99" s="39">
        <f t="shared" si="35"/>
        <v>0</v>
      </c>
      <c r="G99" s="39">
        <f t="shared" si="35"/>
        <v>0</v>
      </c>
      <c r="H99" s="39">
        <f t="shared" si="35"/>
        <v>0</v>
      </c>
      <c r="I99" s="39">
        <f t="shared" si="35"/>
        <v>0</v>
      </c>
      <c r="J99" s="39">
        <f t="shared" si="35"/>
        <v>0</v>
      </c>
      <c r="K99" s="39">
        <f t="shared" si="35"/>
        <v>0</v>
      </c>
      <c r="L99" s="39">
        <f t="shared" si="35"/>
        <v>0</v>
      </c>
    </row>
    <row r="100" spans="1:12" x14ac:dyDescent="0.25">
      <c r="A100" s="474"/>
      <c r="B100" s="477"/>
      <c r="C100" s="481"/>
      <c r="D100" s="102" t="s">
        <v>18</v>
      </c>
      <c r="E100" s="39">
        <f t="shared" si="27"/>
        <v>1290432.1481472871</v>
      </c>
      <c r="F100" s="39">
        <f t="shared" si="35"/>
        <v>0</v>
      </c>
      <c r="G100" s="39">
        <f t="shared" si="35"/>
        <v>0</v>
      </c>
      <c r="H100" s="39">
        <f t="shared" si="35"/>
        <v>0</v>
      </c>
      <c r="I100" s="39">
        <f t="shared" si="35"/>
        <v>49556.186829999999</v>
      </c>
      <c r="J100" s="39">
        <f t="shared" si="35"/>
        <v>143713.27627524</v>
      </c>
      <c r="K100" s="39">
        <f t="shared" si="35"/>
        <v>151541.8073262496</v>
      </c>
      <c r="L100" s="39">
        <f t="shared" si="35"/>
        <v>945620.87771579751</v>
      </c>
    </row>
    <row r="101" spans="1:12" s="40" customFormat="1" x14ac:dyDescent="0.25">
      <c r="A101" s="474"/>
      <c r="B101" s="477"/>
      <c r="C101" s="448" t="s">
        <v>208</v>
      </c>
      <c r="D101" s="102" t="s">
        <v>12</v>
      </c>
      <c r="E101" s="39">
        <f t="shared" si="27"/>
        <v>2580069.6640296369</v>
      </c>
      <c r="F101" s="87">
        <f t="shared" ref="F101:H101" si="36">SUM(F102:F107)</f>
        <v>202753.45003000004</v>
      </c>
      <c r="G101" s="39">
        <f t="shared" si="36"/>
        <v>215394.25069000002</v>
      </c>
      <c r="H101" s="39">
        <f t="shared" si="36"/>
        <v>172242.57086000001</v>
      </c>
      <c r="I101" s="39">
        <f>SUM(I102:I107)</f>
        <v>210451.40754000001</v>
      </c>
      <c r="J101" s="39">
        <f t="shared" ref="J101:L101" si="37">SUM(J102:J107)</f>
        <v>214298.63669444999</v>
      </c>
      <c r="K101" s="39">
        <f t="shared" si="37"/>
        <v>219195.83392662799</v>
      </c>
      <c r="L101" s="39">
        <f t="shared" si="37"/>
        <v>1345733.5142885586</v>
      </c>
    </row>
    <row r="102" spans="1:12" x14ac:dyDescent="0.25">
      <c r="A102" s="474"/>
      <c r="B102" s="477"/>
      <c r="C102" s="449"/>
      <c r="D102" s="102" t="s">
        <v>13</v>
      </c>
      <c r="E102" s="39">
        <f t="shared" si="27"/>
        <v>0</v>
      </c>
      <c r="F102" s="90">
        <v>0</v>
      </c>
      <c r="G102" s="44">
        <v>0</v>
      </c>
      <c r="H102" s="44">
        <v>0</v>
      </c>
      <c r="I102" s="44">
        <v>0</v>
      </c>
      <c r="J102" s="44">
        <v>0</v>
      </c>
      <c r="K102" s="44">
        <v>0</v>
      </c>
      <c r="L102" s="44">
        <v>0</v>
      </c>
    </row>
    <row r="103" spans="1:12" x14ac:dyDescent="0.25">
      <c r="A103" s="474"/>
      <c r="B103" s="477"/>
      <c r="C103" s="449"/>
      <c r="D103" s="102" t="s">
        <v>14</v>
      </c>
      <c r="E103" s="39">
        <f t="shared" si="27"/>
        <v>473</v>
      </c>
      <c r="F103" s="90">
        <v>330</v>
      </c>
      <c r="G103" s="44">
        <v>143</v>
      </c>
      <c r="H103" s="44">
        <v>0</v>
      </c>
      <c r="I103" s="44">
        <v>0</v>
      </c>
      <c r="J103" s="44">
        <v>0</v>
      </c>
      <c r="K103" s="44">
        <v>0</v>
      </c>
      <c r="L103" s="44">
        <v>0</v>
      </c>
    </row>
    <row r="104" spans="1:12" x14ac:dyDescent="0.25">
      <c r="A104" s="474"/>
      <c r="B104" s="477"/>
      <c r="C104" s="449"/>
      <c r="D104" s="102" t="s">
        <v>15</v>
      </c>
      <c r="E104" s="39">
        <f t="shared" si="27"/>
        <v>1492055.4810100002</v>
      </c>
      <c r="F104" s="90">
        <f>204952.31703-148.67617-3.8-9152.8+152.47617+183.433+5000+145+674+501.4-362-500+122.1+860</f>
        <v>202423.45003000004</v>
      </c>
      <c r="G104" s="44">
        <f>218825.83488-2000-350-2867-556.03419-636.55+2835</f>
        <v>215251.25069000002</v>
      </c>
      <c r="H104" s="28">
        <f>198548.70409-26306.13323</f>
        <v>172242.57086000001</v>
      </c>
      <c r="I104" s="28">
        <f>191943.60167+162.625-26917.66436</f>
        <v>165188.56231000001</v>
      </c>
      <c r="J104" s="80">
        <f>102540.17122-8671.46533</f>
        <v>93868.705889999997</v>
      </c>
      <c r="K104" s="44">
        <f>100540.17122-8671.46533</f>
        <v>91868.705889999997</v>
      </c>
      <c r="L104" s="44">
        <f>K104*6</f>
        <v>551212.23534000001</v>
      </c>
    </row>
    <row r="105" spans="1:12" ht="30" x14ac:dyDescent="0.25">
      <c r="A105" s="474"/>
      <c r="B105" s="477"/>
      <c r="C105" s="449"/>
      <c r="D105" s="100" t="s">
        <v>94</v>
      </c>
      <c r="E105" s="39">
        <f t="shared" si="27"/>
        <v>0</v>
      </c>
      <c r="F105" s="44">
        <v>0</v>
      </c>
      <c r="G105" s="44">
        <v>0</v>
      </c>
      <c r="H105" s="44">
        <v>0</v>
      </c>
      <c r="I105" s="79">
        <v>0</v>
      </c>
      <c r="J105" s="44">
        <v>0</v>
      </c>
      <c r="K105" s="44">
        <v>0</v>
      </c>
      <c r="L105" s="44">
        <v>0</v>
      </c>
    </row>
    <row r="106" spans="1:12" x14ac:dyDescent="0.25">
      <c r="A106" s="474"/>
      <c r="B106" s="477"/>
      <c r="C106" s="449"/>
      <c r="D106" s="100" t="s">
        <v>93</v>
      </c>
      <c r="E106" s="39">
        <f t="shared" si="27"/>
        <v>0</v>
      </c>
      <c r="F106" s="44">
        <v>0</v>
      </c>
      <c r="G106" s="44">
        <v>0</v>
      </c>
      <c r="H106" s="44">
        <v>0</v>
      </c>
      <c r="I106" s="44">
        <v>0</v>
      </c>
      <c r="J106" s="44">
        <v>0</v>
      </c>
      <c r="K106" s="44">
        <v>0</v>
      </c>
      <c r="L106" s="44">
        <v>0</v>
      </c>
    </row>
    <row r="107" spans="1:12" x14ac:dyDescent="0.25">
      <c r="A107" s="474"/>
      <c r="B107" s="477"/>
      <c r="C107" s="450"/>
      <c r="D107" s="102" t="s">
        <v>18</v>
      </c>
      <c r="E107" s="39">
        <f t="shared" si="27"/>
        <v>1087541.1830196367</v>
      </c>
      <c r="F107" s="44">
        <v>0</v>
      </c>
      <c r="G107" s="44">
        <v>0</v>
      </c>
      <c r="H107" s="44">
        <v>0</v>
      </c>
      <c r="I107" s="28">
        <f>49556.18683-4293.3416</f>
        <v>45262.845229999999</v>
      </c>
      <c r="J107" s="47">
        <f>(I101-J104)*103.3%</f>
        <v>120429.93080445001</v>
      </c>
      <c r="K107" s="28">
        <f>(J101-K104)*104%</f>
        <v>127327.128036628</v>
      </c>
      <c r="L107" s="80">
        <f>(K101*6-L104)*104%</f>
        <v>794521.27894855873</v>
      </c>
    </row>
    <row r="108" spans="1:12" x14ac:dyDescent="0.25">
      <c r="A108" s="474"/>
      <c r="B108" s="477"/>
      <c r="C108" s="482" t="s">
        <v>209</v>
      </c>
      <c r="D108" s="102" t="s">
        <v>12</v>
      </c>
      <c r="E108" s="39">
        <f t="shared" si="27"/>
        <v>325486.48535765032</v>
      </c>
      <c r="F108" s="44">
        <f t="shared" ref="F108:H108" si="38">SUM(F109:F114)</f>
        <v>0</v>
      </c>
      <c r="G108" s="44">
        <f t="shared" si="38"/>
        <v>0</v>
      </c>
      <c r="H108" s="44">
        <f t="shared" si="38"/>
        <v>26306.133229999999</v>
      </c>
      <c r="I108" s="44">
        <f>SUM(I109:I114)</f>
        <v>31211.005959999999</v>
      </c>
      <c r="J108" s="44">
        <f t="shared" ref="J108:L108" si="39">SUM(J109:J114)</f>
        <v>31954.810800789994</v>
      </c>
      <c r="K108" s="44">
        <f t="shared" si="39"/>
        <v>32886.144619621598</v>
      </c>
      <c r="L108" s="44">
        <f t="shared" si="39"/>
        <v>203128.39074723877</v>
      </c>
    </row>
    <row r="109" spans="1:12" x14ac:dyDescent="0.25">
      <c r="A109" s="474"/>
      <c r="B109" s="477"/>
      <c r="C109" s="483"/>
      <c r="D109" s="102" t="s">
        <v>13</v>
      </c>
      <c r="E109" s="39">
        <f t="shared" si="27"/>
        <v>0</v>
      </c>
      <c r="F109" s="44"/>
      <c r="G109" s="44"/>
      <c r="H109" s="44"/>
      <c r="I109" s="42"/>
      <c r="J109" s="43"/>
      <c r="K109" s="42"/>
      <c r="L109" s="80"/>
    </row>
    <row r="110" spans="1:12" x14ac:dyDescent="0.25">
      <c r="A110" s="474"/>
      <c r="B110" s="477"/>
      <c r="C110" s="483"/>
      <c r="D110" s="102" t="s">
        <v>14</v>
      </c>
      <c r="E110" s="39">
        <f t="shared" si="27"/>
        <v>0</v>
      </c>
      <c r="F110" s="44"/>
      <c r="G110" s="44"/>
      <c r="H110" s="44"/>
      <c r="I110" s="42"/>
      <c r="J110" s="43"/>
      <c r="K110" s="42"/>
      <c r="L110" s="80"/>
    </row>
    <row r="111" spans="1:12" x14ac:dyDescent="0.25">
      <c r="A111" s="474"/>
      <c r="B111" s="477"/>
      <c r="C111" s="483"/>
      <c r="D111" s="102" t="s">
        <v>15</v>
      </c>
      <c r="E111" s="39">
        <f t="shared" si="27"/>
        <v>122595.52023000001</v>
      </c>
      <c r="F111" s="44"/>
      <c r="G111" s="44"/>
      <c r="H111" s="44">
        <v>26306.133229999999</v>
      </c>
      <c r="I111" s="42">
        <v>26917.664359999999</v>
      </c>
      <c r="J111" s="43">
        <v>8671.4653300000009</v>
      </c>
      <c r="K111" s="42">
        <v>8671.4653300000009</v>
      </c>
      <c r="L111" s="80">
        <f>K111*6</f>
        <v>52028.791980000009</v>
      </c>
    </row>
    <row r="112" spans="1:12" ht="30" x14ac:dyDescent="0.25">
      <c r="A112" s="474"/>
      <c r="B112" s="477"/>
      <c r="C112" s="483"/>
      <c r="D112" s="100" t="s">
        <v>94</v>
      </c>
      <c r="E112" s="39">
        <f t="shared" si="27"/>
        <v>0</v>
      </c>
      <c r="F112" s="44"/>
      <c r="G112" s="44"/>
      <c r="H112" s="44"/>
      <c r="I112" s="42"/>
      <c r="J112" s="43"/>
      <c r="K112" s="42"/>
      <c r="L112" s="80"/>
    </row>
    <row r="113" spans="1:12" x14ac:dyDescent="0.25">
      <c r="A113" s="474"/>
      <c r="B113" s="477"/>
      <c r="C113" s="483"/>
      <c r="D113" s="100" t="s">
        <v>93</v>
      </c>
      <c r="E113" s="39">
        <f t="shared" si="27"/>
        <v>0</v>
      </c>
      <c r="F113" s="44"/>
      <c r="G113" s="44"/>
      <c r="H113" s="44"/>
      <c r="I113" s="42"/>
      <c r="J113" s="43"/>
      <c r="K113" s="42"/>
      <c r="L113" s="80"/>
    </row>
    <row r="114" spans="1:12" x14ac:dyDescent="0.25">
      <c r="A114" s="474"/>
      <c r="B114" s="477"/>
      <c r="C114" s="484"/>
      <c r="D114" s="102" t="s">
        <v>18</v>
      </c>
      <c r="E114" s="39">
        <f t="shared" si="27"/>
        <v>202890.96512765036</v>
      </c>
      <c r="F114" s="44"/>
      <c r="G114" s="44"/>
      <c r="H114" s="44"/>
      <c r="I114" s="42">
        <v>4293.3415999999997</v>
      </c>
      <c r="J114" s="43">
        <f>(I108-J111)*103.3%</f>
        <v>23283.345470789995</v>
      </c>
      <c r="K114" s="43">
        <f>(J108-K111)*104%</f>
        <v>24214.679289621596</v>
      </c>
      <c r="L114" s="80">
        <f>(K108*6-L111)*104%</f>
        <v>151099.59876723876</v>
      </c>
    </row>
    <row r="115" spans="1:12" s="40" customFormat="1" x14ac:dyDescent="0.25">
      <c r="A115" s="474"/>
      <c r="B115" s="477"/>
      <c r="C115" s="448" t="s">
        <v>146</v>
      </c>
      <c r="D115" s="102" t="s">
        <v>12</v>
      </c>
      <c r="E115" s="39">
        <f t="shared" si="27"/>
        <v>29238.943629999998</v>
      </c>
      <c r="F115" s="87">
        <f t="shared" ref="F115:H115" si="40">SUM(F116:F121)</f>
        <v>1691.9242900000002</v>
      </c>
      <c r="G115" s="39">
        <f t="shared" si="40"/>
        <v>1872.46696</v>
      </c>
      <c r="H115" s="39">
        <f t="shared" si="40"/>
        <v>994.7523799999999</v>
      </c>
      <c r="I115" s="45">
        <f>SUM(I116:I121)</f>
        <v>2742.2</v>
      </c>
      <c r="J115" s="45">
        <f t="shared" ref="J115:L115" si="41">SUM(J116:J121)</f>
        <v>2742.2</v>
      </c>
      <c r="K115" s="45">
        <f t="shared" si="41"/>
        <v>2742.2</v>
      </c>
      <c r="L115" s="39">
        <f t="shared" si="41"/>
        <v>16453.199999999997</v>
      </c>
    </row>
    <row r="116" spans="1:12" x14ac:dyDescent="0.25">
      <c r="A116" s="474"/>
      <c r="B116" s="477"/>
      <c r="C116" s="449"/>
      <c r="D116" s="102" t="s">
        <v>13</v>
      </c>
      <c r="E116" s="39">
        <f t="shared" si="27"/>
        <v>0</v>
      </c>
      <c r="F116" s="87">
        <v>0</v>
      </c>
      <c r="G116" s="39">
        <v>0</v>
      </c>
      <c r="H116" s="39">
        <v>0</v>
      </c>
      <c r="I116" s="39">
        <v>0</v>
      </c>
      <c r="J116" s="39">
        <v>0</v>
      </c>
      <c r="K116" s="39">
        <v>0</v>
      </c>
      <c r="L116" s="39">
        <v>0</v>
      </c>
    </row>
    <row r="117" spans="1:12" x14ac:dyDescent="0.25">
      <c r="A117" s="474"/>
      <c r="B117" s="477"/>
      <c r="C117" s="449"/>
      <c r="D117" s="102" t="s">
        <v>14</v>
      </c>
      <c r="E117" s="39">
        <f t="shared" si="27"/>
        <v>0</v>
      </c>
      <c r="F117" s="87">
        <v>0</v>
      </c>
      <c r="G117" s="39">
        <v>0</v>
      </c>
      <c r="H117" s="39">
        <v>0</v>
      </c>
      <c r="I117" s="39">
        <v>0</v>
      </c>
      <c r="J117" s="39">
        <v>0</v>
      </c>
      <c r="K117" s="39">
        <v>0</v>
      </c>
      <c r="L117" s="39">
        <v>0</v>
      </c>
    </row>
    <row r="118" spans="1:12" x14ac:dyDescent="0.25">
      <c r="A118" s="474"/>
      <c r="B118" s="477"/>
      <c r="C118" s="449"/>
      <c r="D118" s="102" t="s">
        <v>15</v>
      </c>
      <c r="E118" s="39">
        <f t="shared" si="27"/>
        <v>29238.943629999998</v>
      </c>
      <c r="F118" s="87">
        <f>1864.65-172.72571</f>
        <v>1691.9242900000002</v>
      </c>
      <c r="G118" s="39">
        <f>2128.76667-256.29971</f>
        <v>1872.46696</v>
      </c>
      <c r="H118" s="39">
        <f>1025.87106-31.11868</f>
        <v>994.7523799999999</v>
      </c>
      <c r="I118" s="39">
        <v>2742.2</v>
      </c>
      <c r="J118" s="39">
        <v>2742.2</v>
      </c>
      <c r="K118" s="39">
        <v>2742.2</v>
      </c>
      <c r="L118" s="39">
        <f>K118*6</f>
        <v>16453.199999999997</v>
      </c>
    </row>
    <row r="119" spans="1:12" ht="30" x14ac:dyDescent="0.25">
      <c r="A119" s="474"/>
      <c r="B119" s="477"/>
      <c r="C119" s="449"/>
      <c r="D119" s="100" t="s">
        <v>94</v>
      </c>
      <c r="E119" s="39">
        <f t="shared" si="27"/>
        <v>0</v>
      </c>
      <c r="F119" s="39">
        <v>0</v>
      </c>
      <c r="G119" s="39">
        <v>0</v>
      </c>
      <c r="H119" s="39">
        <v>0</v>
      </c>
      <c r="I119" s="39">
        <v>0</v>
      </c>
      <c r="J119" s="39">
        <v>0</v>
      </c>
      <c r="K119" s="39">
        <v>0</v>
      </c>
      <c r="L119" s="39">
        <v>0</v>
      </c>
    </row>
    <row r="120" spans="1:12" x14ac:dyDescent="0.25">
      <c r="A120" s="474"/>
      <c r="B120" s="477"/>
      <c r="C120" s="449"/>
      <c r="D120" s="100" t="s">
        <v>93</v>
      </c>
      <c r="E120" s="39">
        <f t="shared" si="27"/>
        <v>0</v>
      </c>
      <c r="F120" s="39">
        <v>0</v>
      </c>
      <c r="G120" s="39">
        <v>0</v>
      </c>
      <c r="H120" s="39">
        <v>0</v>
      </c>
      <c r="I120" s="39">
        <v>0</v>
      </c>
      <c r="J120" s="39">
        <v>0</v>
      </c>
      <c r="K120" s="39">
        <v>0</v>
      </c>
      <c r="L120" s="39">
        <v>0</v>
      </c>
    </row>
    <row r="121" spans="1:12" x14ac:dyDescent="0.25">
      <c r="A121" s="474"/>
      <c r="B121" s="477"/>
      <c r="C121" s="450"/>
      <c r="D121" s="102" t="s">
        <v>18</v>
      </c>
      <c r="E121" s="39">
        <f t="shared" si="27"/>
        <v>0</v>
      </c>
      <c r="F121" s="39">
        <v>0</v>
      </c>
      <c r="G121" s="39">
        <v>0</v>
      </c>
      <c r="H121" s="39">
        <v>0</v>
      </c>
      <c r="I121" s="39">
        <v>0</v>
      </c>
      <c r="J121" s="39">
        <v>0</v>
      </c>
      <c r="K121" s="39">
        <v>0</v>
      </c>
      <c r="L121" s="39">
        <v>0</v>
      </c>
    </row>
    <row r="122" spans="1:12" s="40" customFormat="1" x14ac:dyDescent="0.25">
      <c r="A122" s="474"/>
      <c r="B122" s="477"/>
      <c r="C122" s="460" t="s">
        <v>147</v>
      </c>
      <c r="D122" s="102" t="s">
        <v>12</v>
      </c>
      <c r="E122" s="39">
        <f t="shared" ref="E122:E128" si="42">SUM(F122:L122)</f>
        <v>2751.3</v>
      </c>
      <c r="F122" s="39">
        <f t="shared" ref="F122:H122" si="43">SUM(F123:F128)</f>
        <v>0</v>
      </c>
      <c r="G122" s="39">
        <f t="shared" si="43"/>
        <v>1301.5999999999999</v>
      </c>
      <c r="H122" s="39">
        <f t="shared" si="43"/>
        <v>1449.7</v>
      </c>
      <c r="I122" s="39">
        <f>SUM(I123:I128)</f>
        <v>0</v>
      </c>
      <c r="J122" s="39">
        <f t="shared" ref="J122:L122" si="44">SUM(J123:J128)</f>
        <v>0</v>
      </c>
      <c r="K122" s="39">
        <f t="shared" si="44"/>
        <v>0</v>
      </c>
      <c r="L122" s="39">
        <f t="shared" si="44"/>
        <v>0</v>
      </c>
    </row>
    <row r="123" spans="1:12" x14ac:dyDescent="0.25">
      <c r="A123" s="474"/>
      <c r="B123" s="477"/>
      <c r="C123" s="460"/>
      <c r="D123" s="102" t="s">
        <v>13</v>
      </c>
      <c r="E123" s="39">
        <f t="shared" si="42"/>
        <v>0</v>
      </c>
      <c r="F123" s="39">
        <v>0</v>
      </c>
      <c r="G123" s="39">
        <v>0</v>
      </c>
      <c r="H123" s="39">
        <v>0</v>
      </c>
      <c r="I123" s="39">
        <v>0</v>
      </c>
      <c r="J123" s="39">
        <v>0</v>
      </c>
      <c r="K123" s="39">
        <v>0</v>
      </c>
      <c r="L123" s="39">
        <v>0</v>
      </c>
    </row>
    <row r="124" spans="1:12" x14ac:dyDescent="0.25">
      <c r="A124" s="474"/>
      <c r="B124" s="477"/>
      <c r="C124" s="460"/>
      <c r="D124" s="102" t="s">
        <v>14</v>
      </c>
      <c r="E124" s="39">
        <f t="shared" si="42"/>
        <v>0</v>
      </c>
      <c r="F124" s="39">
        <v>0</v>
      </c>
      <c r="G124" s="39">
        <v>0</v>
      </c>
      <c r="H124" s="39">
        <v>0</v>
      </c>
      <c r="I124" s="38">
        <v>0</v>
      </c>
      <c r="J124" s="38">
        <v>0</v>
      </c>
      <c r="K124" s="38">
        <v>0</v>
      </c>
      <c r="L124" s="38">
        <v>0</v>
      </c>
    </row>
    <row r="125" spans="1:12" x14ac:dyDescent="0.25">
      <c r="A125" s="474"/>
      <c r="B125" s="477"/>
      <c r="C125" s="460"/>
      <c r="D125" s="102" t="s">
        <v>15</v>
      </c>
      <c r="E125" s="39">
        <f t="shared" si="42"/>
        <v>2751.3</v>
      </c>
      <c r="F125" s="39">
        <v>0</v>
      </c>
      <c r="G125" s="39">
        <v>1301.5999999999999</v>
      </c>
      <c r="H125" s="39">
        <v>1449.7</v>
      </c>
      <c r="I125" s="39"/>
      <c r="J125" s="39"/>
      <c r="K125" s="39"/>
      <c r="L125" s="38">
        <v>0</v>
      </c>
    </row>
    <row r="126" spans="1:12" ht="30" x14ac:dyDescent="0.25">
      <c r="A126" s="474"/>
      <c r="B126" s="477"/>
      <c r="C126" s="460"/>
      <c r="D126" s="100" t="s">
        <v>94</v>
      </c>
      <c r="E126" s="39">
        <f t="shared" si="42"/>
        <v>0</v>
      </c>
      <c r="F126" s="39">
        <v>0</v>
      </c>
      <c r="G126" s="39">
        <v>0</v>
      </c>
      <c r="H126" s="39">
        <v>0</v>
      </c>
      <c r="I126" s="38">
        <v>0</v>
      </c>
      <c r="J126" s="38">
        <v>0</v>
      </c>
      <c r="K126" s="38">
        <v>0</v>
      </c>
      <c r="L126" s="38">
        <v>0</v>
      </c>
    </row>
    <row r="127" spans="1:12" x14ac:dyDescent="0.25">
      <c r="A127" s="474"/>
      <c r="B127" s="477"/>
      <c r="C127" s="460"/>
      <c r="D127" s="100" t="s">
        <v>93</v>
      </c>
      <c r="E127" s="39">
        <f t="shared" si="42"/>
        <v>0</v>
      </c>
      <c r="F127" s="39">
        <v>0</v>
      </c>
      <c r="G127" s="39">
        <v>0</v>
      </c>
      <c r="H127" s="39">
        <v>0</v>
      </c>
      <c r="I127" s="38">
        <v>0</v>
      </c>
      <c r="J127" s="38">
        <v>0</v>
      </c>
      <c r="K127" s="38">
        <v>0</v>
      </c>
      <c r="L127" s="38">
        <v>0</v>
      </c>
    </row>
    <row r="128" spans="1:12" x14ac:dyDescent="0.25">
      <c r="A128" s="475"/>
      <c r="B128" s="478"/>
      <c r="C128" s="460"/>
      <c r="D128" s="102" t="s">
        <v>18</v>
      </c>
      <c r="E128" s="39">
        <f t="shared" si="42"/>
        <v>0</v>
      </c>
      <c r="F128" s="39">
        <v>0</v>
      </c>
      <c r="G128" s="39">
        <v>0</v>
      </c>
      <c r="H128" s="39">
        <v>0</v>
      </c>
      <c r="I128" s="38">
        <v>0</v>
      </c>
      <c r="J128" s="38">
        <v>0</v>
      </c>
      <c r="K128" s="38">
        <v>0</v>
      </c>
      <c r="L128" s="38">
        <v>0</v>
      </c>
    </row>
    <row r="129" spans="1:12" x14ac:dyDescent="0.25">
      <c r="A129" s="451" t="s">
        <v>124</v>
      </c>
      <c r="B129" s="485" t="s">
        <v>170</v>
      </c>
      <c r="C129" s="460" t="s">
        <v>8</v>
      </c>
      <c r="D129" s="102" t="s">
        <v>12</v>
      </c>
      <c r="E129" s="39">
        <f t="shared" si="27"/>
        <v>31318.620798399999</v>
      </c>
      <c r="F129" s="87">
        <f t="shared" ref="F129:H129" si="45">SUM(F130:F135)</f>
        <v>1170</v>
      </c>
      <c r="G129" s="39">
        <f t="shared" si="45"/>
        <v>1840</v>
      </c>
      <c r="H129" s="39">
        <f t="shared" si="45"/>
        <v>1837</v>
      </c>
      <c r="I129" s="39">
        <f>SUM(I130:I135)</f>
        <v>2850</v>
      </c>
      <c r="J129" s="39">
        <f t="shared" ref="J129:L129" si="46">SUM(J130:J135)</f>
        <v>2883.4290000000001</v>
      </c>
      <c r="K129" s="39">
        <f t="shared" si="46"/>
        <v>2925.2861599999997</v>
      </c>
      <c r="L129" s="39">
        <f t="shared" si="46"/>
        <v>17812.9056384</v>
      </c>
    </row>
    <row r="130" spans="1:12" x14ac:dyDescent="0.25">
      <c r="A130" s="452"/>
      <c r="B130" s="486"/>
      <c r="C130" s="460"/>
      <c r="D130" s="102" t="s">
        <v>13</v>
      </c>
      <c r="E130" s="39">
        <f t="shared" si="27"/>
        <v>0</v>
      </c>
      <c r="F130" s="87">
        <v>0</v>
      </c>
      <c r="G130" s="39">
        <v>0</v>
      </c>
      <c r="H130" s="39">
        <v>0</v>
      </c>
      <c r="I130" s="39">
        <v>0</v>
      </c>
      <c r="J130" s="39">
        <v>0</v>
      </c>
      <c r="K130" s="39">
        <v>0</v>
      </c>
      <c r="L130" s="39">
        <v>0</v>
      </c>
    </row>
    <row r="131" spans="1:12" x14ac:dyDescent="0.25">
      <c r="A131" s="452"/>
      <c r="B131" s="486"/>
      <c r="C131" s="460"/>
      <c r="D131" s="102" t="s">
        <v>14</v>
      </c>
      <c r="E131" s="39">
        <f t="shared" si="27"/>
        <v>0</v>
      </c>
      <c r="F131" s="87">
        <v>0</v>
      </c>
      <c r="G131" s="39">
        <v>0</v>
      </c>
      <c r="H131" s="39">
        <v>0</v>
      </c>
      <c r="I131" s="39">
        <v>0</v>
      </c>
      <c r="J131" s="39">
        <v>0</v>
      </c>
      <c r="K131" s="39">
        <v>0</v>
      </c>
      <c r="L131" s="39">
        <v>0</v>
      </c>
    </row>
    <row r="132" spans="1:12" x14ac:dyDescent="0.25">
      <c r="A132" s="452"/>
      <c r="B132" s="486"/>
      <c r="C132" s="460"/>
      <c r="D132" s="102" t="s">
        <v>15</v>
      </c>
      <c r="E132" s="39">
        <f t="shared" si="27"/>
        <v>21380</v>
      </c>
      <c r="F132" s="87">
        <v>1170</v>
      </c>
      <c r="G132" s="39">
        <v>1840</v>
      </c>
      <c r="H132" s="39">
        <v>1837</v>
      </c>
      <c r="I132" s="39">
        <v>1837</v>
      </c>
      <c r="J132" s="39">
        <v>1837</v>
      </c>
      <c r="K132" s="39">
        <v>1837</v>
      </c>
      <c r="L132" s="39">
        <f>K132*6</f>
        <v>11022</v>
      </c>
    </row>
    <row r="133" spans="1:12" ht="30" x14ac:dyDescent="0.25">
      <c r="A133" s="452"/>
      <c r="B133" s="486"/>
      <c r="C133" s="460"/>
      <c r="D133" s="100" t="s">
        <v>94</v>
      </c>
      <c r="E133" s="39">
        <f t="shared" si="27"/>
        <v>0</v>
      </c>
      <c r="F133" s="39">
        <v>0</v>
      </c>
      <c r="G133" s="39">
        <v>0</v>
      </c>
      <c r="H133" s="39">
        <v>0</v>
      </c>
      <c r="I133" s="39">
        <v>0</v>
      </c>
      <c r="J133" s="39">
        <v>0</v>
      </c>
      <c r="K133" s="39">
        <v>0</v>
      </c>
      <c r="L133" s="39">
        <v>0</v>
      </c>
    </row>
    <row r="134" spans="1:12" x14ac:dyDescent="0.25">
      <c r="A134" s="452"/>
      <c r="B134" s="486"/>
      <c r="C134" s="460"/>
      <c r="D134" s="100" t="s">
        <v>93</v>
      </c>
      <c r="E134" s="39">
        <f t="shared" si="27"/>
        <v>0</v>
      </c>
      <c r="F134" s="39">
        <v>0</v>
      </c>
      <c r="G134" s="39">
        <v>0</v>
      </c>
      <c r="H134" s="39">
        <v>0</v>
      </c>
      <c r="I134" s="39">
        <v>0</v>
      </c>
      <c r="J134" s="39">
        <v>0</v>
      </c>
      <c r="K134" s="39">
        <v>0</v>
      </c>
      <c r="L134" s="39">
        <v>0</v>
      </c>
    </row>
    <row r="135" spans="1:12" x14ac:dyDescent="0.25">
      <c r="A135" s="453"/>
      <c r="B135" s="487"/>
      <c r="C135" s="460"/>
      <c r="D135" s="102" t="s">
        <v>18</v>
      </c>
      <c r="E135" s="39">
        <f t="shared" si="27"/>
        <v>9938.6207983999975</v>
      </c>
      <c r="F135" s="39">
        <v>0</v>
      </c>
      <c r="G135" s="39">
        <v>0</v>
      </c>
      <c r="H135" s="39">
        <v>0</v>
      </c>
      <c r="I135" s="39">
        <v>1013</v>
      </c>
      <c r="J135" s="39">
        <v>1046.4289999999999</v>
      </c>
      <c r="K135" s="39">
        <v>1088.2861599999999</v>
      </c>
      <c r="L135" s="29">
        <f>(K129*6-L132)*104%</f>
        <v>6790.9056383999978</v>
      </c>
    </row>
    <row r="136" spans="1:12" x14ac:dyDescent="0.25">
      <c r="A136" s="451" t="s">
        <v>125</v>
      </c>
      <c r="B136" s="476" t="s">
        <v>197</v>
      </c>
      <c r="C136" s="448" t="s">
        <v>162</v>
      </c>
      <c r="D136" s="102" t="s">
        <v>12</v>
      </c>
      <c r="E136" s="39">
        <f t="shared" si="27"/>
        <v>624160.21950288711</v>
      </c>
      <c r="F136" s="87">
        <f t="shared" ref="F136:H136" si="47">SUM(F137:F142)</f>
        <v>42352.774519999999</v>
      </c>
      <c r="G136" s="39">
        <f t="shared" si="47"/>
        <v>47203.258170000001</v>
      </c>
      <c r="H136" s="39">
        <f t="shared" si="47"/>
        <v>45668.996569999996</v>
      </c>
      <c r="I136" s="39">
        <f>SUM(I137:I142)</f>
        <v>50524.884659999996</v>
      </c>
      <c r="J136" s="39">
        <f t="shared" ref="J136:L136" si="48">SUM(J137:J142)</f>
        <v>51767.683029500004</v>
      </c>
      <c r="K136" s="39">
        <f t="shared" si="48"/>
        <v>54266.296424280001</v>
      </c>
      <c r="L136" s="39">
        <f t="shared" si="48"/>
        <v>332376.32612910715</v>
      </c>
    </row>
    <row r="137" spans="1:12" s="63" customFormat="1" x14ac:dyDescent="0.25">
      <c r="A137" s="452"/>
      <c r="B137" s="477"/>
      <c r="C137" s="449"/>
      <c r="D137" s="62" t="s">
        <v>13</v>
      </c>
      <c r="E137" s="44">
        <f t="shared" si="27"/>
        <v>312.29999999999995</v>
      </c>
      <c r="F137" s="90">
        <f>F144+F151</f>
        <v>13.6</v>
      </c>
      <c r="G137" s="44">
        <f t="shared" ref="G137:L137" si="49">G144+G151</f>
        <v>0</v>
      </c>
      <c r="H137" s="44">
        <f t="shared" si="49"/>
        <v>50.9</v>
      </c>
      <c r="I137" s="44">
        <f t="shared" si="49"/>
        <v>82.6</v>
      </c>
      <c r="J137" s="44">
        <f t="shared" si="49"/>
        <v>82.6</v>
      </c>
      <c r="K137" s="44">
        <f t="shared" si="49"/>
        <v>82.6</v>
      </c>
      <c r="L137" s="44">
        <f t="shared" si="49"/>
        <v>0</v>
      </c>
    </row>
    <row r="138" spans="1:12" s="63" customFormat="1" x14ac:dyDescent="0.25">
      <c r="A138" s="452"/>
      <c r="B138" s="477"/>
      <c r="C138" s="449"/>
      <c r="D138" s="62" t="s">
        <v>14</v>
      </c>
      <c r="E138" s="44">
        <f t="shared" si="27"/>
        <v>4750.2445600000001</v>
      </c>
      <c r="F138" s="90">
        <f t="shared" ref="F138:L142" si="50">F145+F152</f>
        <v>584.27727000000004</v>
      </c>
      <c r="G138" s="44">
        <f t="shared" si="50"/>
        <v>548.5</v>
      </c>
      <c r="H138" s="44">
        <f t="shared" si="50"/>
        <v>672.66728999999998</v>
      </c>
      <c r="I138" s="44">
        <f t="shared" si="50"/>
        <v>903.59999999999991</v>
      </c>
      <c r="J138" s="44">
        <f t="shared" si="50"/>
        <v>655</v>
      </c>
      <c r="K138" s="44">
        <f t="shared" si="50"/>
        <v>1386.2</v>
      </c>
      <c r="L138" s="44">
        <f t="shared" si="50"/>
        <v>0</v>
      </c>
    </row>
    <row r="139" spans="1:12" x14ac:dyDescent="0.25">
      <c r="A139" s="452"/>
      <c r="B139" s="477"/>
      <c r="C139" s="449"/>
      <c r="D139" s="102" t="s">
        <v>15</v>
      </c>
      <c r="E139" s="39">
        <f t="shared" si="27"/>
        <v>396215.30914999999</v>
      </c>
      <c r="F139" s="90">
        <f t="shared" si="50"/>
        <v>41754.897250000002</v>
      </c>
      <c r="G139" s="44">
        <f t="shared" si="50"/>
        <v>46654.758170000001</v>
      </c>
      <c r="H139" s="44">
        <f t="shared" si="50"/>
        <v>44945.429279999997</v>
      </c>
      <c r="I139" s="44">
        <f t="shared" si="50"/>
        <v>45487.944170000002</v>
      </c>
      <c r="J139" s="44">
        <f t="shared" si="50"/>
        <v>35215.843159999997</v>
      </c>
      <c r="K139" s="44">
        <f t="shared" si="50"/>
        <v>26022.348160000001</v>
      </c>
      <c r="L139" s="44">
        <f t="shared" si="50"/>
        <v>156134.08896000002</v>
      </c>
    </row>
    <row r="140" spans="1:12" ht="30" x14ac:dyDescent="0.25">
      <c r="A140" s="452"/>
      <c r="B140" s="477"/>
      <c r="C140" s="449"/>
      <c r="D140" s="100" t="s">
        <v>94</v>
      </c>
      <c r="E140" s="39">
        <f t="shared" si="27"/>
        <v>0</v>
      </c>
      <c r="F140" s="90">
        <f t="shared" si="50"/>
        <v>0</v>
      </c>
      <c r="G140" s="44">
        <f t="shared" si="50"/>
        <v>0</v>
      </c>
      <c r="H140" s="44">
        <f t="shared" si="50"/>
        <v>0</v>
      </c>
      <c r="I140" s="44">
        <f t="shared" si="50"/>
        <v>0</v>
      </c>
      <c r="J140" s="44">
        <f t="shared" si="50"/>
        <v>0</v>
      </c>
      <c r="K140" s="44">
        <f t="shared" si="50"/>
        <v>0</v>
      </c>
      <c r="L140" s="44">
        <f t="shared" si="50"/>
        <v>0</v>
      </c>
    </row>
    <row r="141" spans="1:12" x14ac:dyDescent="0.25">
      <c r="A141" s="452"/>
      <c r="B141" s="477"/>
      <c r="C141" s="449"/>
      <c r="D141" s="100" t="s">
        <v>93</v>
      </c>
      <c r="E141" s="39">
        <f t="shared" si="27"/>
        <v>0</v>
      </c>
      <c r="F141" s="90">
        <f t="shared" si="50"/>
        <v>0</v>
      </c>
      <c r="G141" s="44">
        <f t="shared" si="50"/>
        <v>0</v>
      </c>
      <c r="H141" s="44">
        <f t="shared" si="50"/>
        <v>0</v>
      </c>
      <c r="I141" s="44">
        <f t="shared" si="50"/>
        <v>0</v>
      </c>
      <c r="J141" s="44">
        <f t="shared" si="50"/>
        <v>0</v>
      </c>
      <c r="K141" s="44">
        <f t="shared" si="50"/>
        <v>0</v>
      </c>
      <c r="L141" s="44">
        <f t="shared" si="50"/>
        <v>0</v>
      </c>
    </row>
    <row r="142" spans="1:12" x14ac:dyDescent="0.25">
      <c r="A142" s="452"/>
      <c r="B142" s="477"/>
      <c r="C142" s="450"/>
      <c r="D142" s="102" t="s">
        <v>18</v>
      </c>
      <c r="E142" s="39">
        <f t="shared" si="27"/>
        <v>222882.36579288714</v>
      </c>
      <c r="F142" s="90">
        <f t="shared" si="50"/>
        <v>0</v>
      </c>
      <c r="G142" s="44">
        <f t="shared" si="50"/>
        <v>0</v>
      </c>
      <c r="H142" s="44">
        <f t="shared" si="50"/>
        <v>0</v>
      </c>
      <c r="I142" s="44">
        <f t="shared" si="50"/>
        <v>4050.7404900000001</v>
      </c>
      <c r="J142" s="44">
        <f t="shared" si="50"/>
        <v>15814.239869500008</v>
      </c>
      <c r="K142" s="44">
        <f t="shared" si="50"/>
        <v>26775.14826428</v>
      </c>
      <c r="L142" s="44">
        <f t="shared" si="50"/>
        <v>176242.23716910713</v>
      </c>
    </row>
    <row r="143" spans="1:12" x14ac:dyDescent="0.25">
      <c r="A143" s="452"/>
      <c r="B143" s="477"/>
      <c r="C143" s="482" t="s">
        <v>8</v>
      </c>
      <c r="D143" s="102" t="s">
        <v>12</v>
      </c>
      <c r="E143" s="39">
        <f t="shared" si="27"/>
        <v>594393.09699401155</v>
      </c>
      <c r="F143" s="87">
        <f t="shared" ref="F143:H143" si="51">SUM(F144:F149)</f>
        <v>42352.774519999999</v>
      </c>
      <c r="G143" s="39">
        <f t="shared" si="51"/>
        <v>47203.258170000001</v>
      </c>
      <c r="H143" s="39">
        <f t="shared" si="51"/>
        <v>42682.766949999997</v>
      </c>
      <c r="I143" s="39">
        <f>SUM(I144:I149)</f>
        <v>47711.000140000004</v>
      </c>
      <c r="J143" s="39">
        <f t="shared" ref="J143:L143" si="52">SUM(J144:J149)</f>
        <v>48935.64567546</v>
      </c>
      <c r="K143" s="39">
        <f t="shared" si="52"/>
        <v>51335.262881678398</v>
      </c>
      <c r="L143" s="39">
        <f t="shared" si="52"/>
        <v>314172.38865687314</v>
      </c>
    </row>
    <row r="144" spans="1:12" x14ac:dyDescent="0.25">
      <c r="A144" s="452"/>
      <c r="B144" s="477"/>
      <c r="C144" s="483"/>
      <c r="D144" s="62" t="s">
        <v>13</v>
      </c>
      <c r="E144" s="39">
        <f t="shared" si="27"/>
        <v>312.29999999999995</v>
      </c>
      <c r="F144" s="90">
        <f>13.6</f>
        <v>13.6</v>
      </c>
      <c r="G144" s="44">
        <v>0</v>
      </c>
      <c r="H144" s="44">
        <v>50.9</v>
      </c>
      <c r="I144" s="44">
        <v>82.6</v>
      </c>
      <c r="J144" s="44">
        <v>82.6</v>
      </c>
      <c r="K144" s="44">
        <v>82.6</v>
      </c>
      <c r="L144" s="44">
        <v>0</v>
      </c>
    </row>
    <row r="145" spans="1:12" x14ac:dyDescent="0.25">
      <c r="A145" s="452"/>
      <c r="B145" s="477"/>
      <c r="C145" s="483"/>
      <c r="D145" s="62" t="s">
        <v>14</v>
      </c>
      <c r="E145" s="39">
        <f t="shared" si="27"/>
        <v>4750.2445600000001</v>
      </c>
      <c r="F145" s="90">
        <f>584.27727</f>
        <v>584.27727000000004</v>
      </c>
      <c r="G145" s="44">
        <v>548.5</v>
      </c>
      <c r="H145" s="44">
        <f>553.9+118.7+0.06729</f>
        <v>672.66728999999998</v>
      </c>
      <c r="I145" s="44">
        <f>802.8+100.8</f>
        <v>903.59999999999991</v>
      </c>
      <c r="J145" s="44">
        <f>554.2+100.8</f>
        <v>655</v>
      </c>
      <c r="K145" s="44">
        <f>1285.4+100.8</f>
        <v>1386.2</v>
      </c>
      <c r="L145" s="44">
        <v>0</v>
      </c>
    </row>
    <row r="146" spans="1:12" x14ac:dyDescent="0.25">
      <c r="A146" s="452"/>
      <c r="B146" s="477"/>
      <c r="C146" s="483"/>
      <c r="D146" s="102" t="s">
        <v>15</v>
      </c>
      <c r="E146" s="39">
        <f t="shared" si="27"/>
        <v>385901.76789000002</v>
      </c>
      <c r="F146" s="90">
        <f>41126.98824+362+10.90901+210+45</f>
        <v>41754.897250000002</v>
      </c>
      <c r="G146" s="44">
        <f>46781.68526-126.92709</f>
        <v>46654.758170000001</v>
      </c>
      <c r="H146" s="44">
        <f>44945.42928-2986.22962</f>
        <v>41959.199659999998</v>
      </c>
      <c r="I146" s="44">
        <f>45487.94417-2563.58452</f>
        <v>42924.359650000006</v>
      </c>
      <c r="J146" s="44">
        <f>35215.84316-2263.79864</f>
        <v>32952.044519999996</v>
      </c>
      <c r="K146" s="44">
        <f>26022.34816-357.13264</f>
        <v>25665.215520000002</v>
      </c>
      <c r="L146" s="44">
        <f>K146*6</f>
        <v>153991.29312000002</v>
      </c>
    </row>
    <row r="147" spans="1:12" ht="30" x14ac:dyDescent="0.25">
      <c r="A147" s="452"/>
      <c r="B147" s="477"/>
      <c r="C147" s="483"/>
      <c r="D147" s="100" t="s">
        <v>94</v>
      </c>
      <c r="E147" s="39">
        <f t="shared" si="27"/>
        <v>0</v>
      </c>
      <c r="F147" s="44">
        <v>0</v>
      </c>
      <c r="G147" s="44">
        <v>0</v>
      </c>
      <c r="H147" s="44">
        <v>0</v>
      </c>
      <c r="I147" s="44">
        <v>0</v>
      </c>
      <c r="J147" s="44">
        <v>0</v>
      </c>
      <c r="K147" s="44">
        <v>0</v>
      </c>
      <c r="L147" s="44">
        <v>0</v>
      </c>
    </row>
    <row r="148" spans="1:12" x14ac:dyDescent="0.25">
      <c r="A148" s="452"/>
      <c r="B148" s="477"/>
      <c r="C148" s="483"/>
      <c r="D148" s="100" t="s">
        <v>93</v>
      </c>
      <c r="E148" s="39">
        <f t="shared" si="27"/>
        <v>0</v>
      </c>
      <c r="F148" s="44">
        <v>0</v>
      </c>
      <c r="G148" s="44">
        <v>0</v>
      </c>
      <c r="H148" s="44">
        <v>0</v>
      </c>
      <c r="I148" s="44">
        <v>0</v>
      </c>
      <c r="J148" s="44">
        <v>0</v>
      </c>
      <c r="K148" s="44">
        <v>0</v>
      </c>
      <c r="L148" s="44">
        <v>0</v>
      </c>
    </row>
    <row r="149" spans="1:12" x14ac:dyDescent="0.25">
      <c r="A149" s="452"/>
      <c r="B149" s="477"/>
      <c r="C149" s="484"/>
      <c r="D149" s="102" t="s">
        <v>18</v>
      </c>
      <c r="E149" s="39">
        <f t="shared" si="27"/>
        <v>203428.78454401158</v>
      </c>
      <c r="F149" s="44">
        <v>0</v>
      </c>
      <c r="G149" s="44">
        <v>0</v>
      </c>
      <c r="H149" s="41"/>
      <c r="I149" s="28">
        <f>4050.74049-250.3</f>
        <v>3800.44049</v>
      </c>
      <c r="J149" s="28">
        <f>(I143-J146)*103.3%</f>
        <v>15246.001155460008</v>
      </c>
      <c r="K149" s="28">
        <f>(J143-K146)*104%</f>
        <v>24201.247361678401</v>
      </c>
      <c r="L149" s="80">
        <f>(K143*6-L146)*104%</f>
        <v>160181.09553687315</v>
      </c>
    </row>
    <row r="150" spans="1:12" x14ac:dyDescent="0.25">
      <c r="A150" s="452"/>
      <c r="B150" s="477"/>
      <c r="C150" s="482" t="s">
        <v>209</v>
      </c>
      <c r="D150" s="102" t="s">
        <v>12</v>
      </c>
      <c r="E150" s="39">
        <f t="shared" si="27"/>
        <v>29767.122508875585</v>
      </c>
      <c r="F150" s="44">
        <f t="shared" ref="F150:H150" si="53">SUM(F151:F156)</f>
        <v>0</v>
      </c>
      <c r="G150" s="44">
        <f t="shared" si="53"/>
        <v>0</v>
      </c>
      <c r="H150" s="44">
        <f t="shared" si="53"/>
        <v>2986.2296200000001</v>
      </c>
      <c r="I150" s="44">
        <f>SUM(I151:I156)</f>
        <v>2813.8845200000001</v>
      </c>
      <c r="J150" s="44">
        <f t="shared" ref="J150:L150" si="54">SUM(J151:J156)</f>
        <v>2832.0373540400001</v>
      </c>
      <c r="K150" s="44">
        <f t="shared" si="54"/>
        <v>2931.0335426016004</v>
      </c>
      <c r="L150" s="44">
        <f t="shared" si="54"/>
        <v>18203.937472233985</v>
      </c>
    </row>
    <row r="151" spans="1:12" x14ac:dyDescent="0.25">
      <c r="A151" s="452"/>
      <c r="B151" s="477"/>
      <c r="C151" s="483"/>
      <c r="D151" s="62" t="s">
        <v>13</v>
      </c>
      <c r="E151" s="39">
        <f t="shared" si="27"/>
        <v>0</v>
      </c>
      <c r="F151" s="44"/>
      <c r="G151" s="44"/>
      <c r="H151" s="78"/>
      <c r="I151" s="42"/>
      <c r="J151" s="42"/>
      <c r="K151" s="42"/>
      <c r="L151" s="80"/>
    </row>
    <row r="152" spans="1:12" x14ac:dyDescent="0.25">
      <c r="A152" s="452"/>
      <c r="B152" s="477"/>
      <c r="C152" s="483"/>
      <c r="D152" s="62" t="s">
        <v>14</v>
      </c>
      <c r="E152" s="39">
        <f t="shared" si="27"/>
        <v>0</v>
      </c>
      <c r="F152" s="44"/>
      <c r="G152" s="44"/>
      <c r="H152" s="78"/>
      <c r="I152" s="42"/>
      <c r="J152" s="42"/>
      <c r="K152" s="42"/>
      <c r="L152" s="80"/>
    </row>
    <row r="153" spans="1:12" x14ac:dyDescent="0.25">
      <c r="A153" s="452"/>
      <c r="B153" s="477"/>
      <c r="C153" s="483"/>
      <c r="D153" s="102" t="s">
        <v>15</v>
      </c>
      <c r="E153" s="39">
        <f t="shared" si="27"/>
        <v>10313.54126</v>
      </c>
      <c r="F153" s="44"/>
      <c r="G153" s="44"/>
      <c r="H153" s="78">
        <v>2986.2296200000001</v>
      </c>
      <c r="I153" s="42">
        <v>2563.5845199999999</v>
      </c>
      <c r="J153" s="42">
        <v>2263.79864</v>
      </c>
      <c r="K153" s="42">
        <v>357.13263999999998</v>
      </c>
      <c r="L153" s="80">
        <f>K153*6</f>
        <v>2142.7958399999998</v>
      </c>
    </row>
    <row r="154" spans="1:12" ht="30" x14ac:dyDescent="0.25">
      <c r="A154" s="452"/>
      <c r="B154" s="477"/>
      <c r="C154" s="483"/>
      <c r="D154" s="100" t="s">
        <v>94</v>
      </c>
      <c r="E154" s="39">
        <f t="shared" si="27"/>
        <v>0</v>
      </c>
      <c r="F154" s="44"/>
      <c r="G154" s="44"/>
      <c r="H154" s="78"/>
      <c r="I154" s="42"/>
      <c r="J154" s="42"/>
      <c r="K154" s="42"/>
      <c r="L154" s="80"/>
    </row>
    <row r="155" spans="1:12" x14ac:dyDescent="0.25">
      <c r="A155" s="452"/>
      <c r="B155" s="477"/>
      <c r="C155" s="483"/>
      <c r="D155" s="100" t="s">
        <v>93</v>
      </c>
      <c r="E155" s="39">
        <f t="shared" si="27"/>
        <v>0</v>
      </c>
      <c r="F155" s="44"/>
      <c r="G155" s="44"/>
      <c r="H155" s="78"/>
      <c r="I155" s="42"/>
      <c r="J155" s="42"/>
      <c r="K155" s="42"/>
      <c r="L155" s="80"/>
    </row>
    <row r="156" spans="1:12" x14ac:dyDescent="0.25">
      <c r="A156" s="453"/>
      <c r="B156" s="478"/>
      <c r="C156" s="484"/>
      <c r="D156" s="102" t="s">
        <v>18</v>
      </c>
      <c r="E156" s="39">
        <f t="shared" si="27"/>
        <v>19453.581248875587</v>
      </c>
      <c r="F156" s="44"/>
      <c r="G156" s="44"/>
      <c r="H156" s="78"/>
      <c r="I156" s="42">
        <v>250.3</v>
      </c>
      <c r="J156" s="43">
        <f>(I150-J153)*103.3%</f>
        <v>568.23871403999999</v>
      </c>
      <c r="K156" s="43">
        <f>(J150-K153)*104%</f>
        <v>2573.9009026016006</v>
      </c>
      <c r="L156" s="80">
        <f>(K150*6-L153)*104%</f>
        <v>16061.141632233986</v>
      </c>
    </row>
    <row r="157" spans="1:12" x14ac:dyDescent="0.25">
      <c r="A157" s="451" t="s">
        <v>126</v>
      </c>
      <c r="B157" s="470" t="s">
        <v>198</v>
      </c>
      <c r="C157" s="460" t="s">
        <v>128</v>
      </c>
      <c r="D157" s="102" t="s">
        <v>12</v>
      </c>
      <c r="E157" s="39">
        <f t="shared" si="27"/>
        <v>250</v>
      </c>
      <c r="F157" s="39">
        <f t="shared" ref="F157:H157" si="55">SUM(F158:F163)</f>
        <v>0</v>
      </c>
      <c r="G157" s="39">
        <f t="shared" si="55"/>
        <v>50</v>
      </c>
      <c r="H157" s="45">
        <f t="shared" si="55"/>
        <v>50</v>
      </c>
      <c r="I157" s="45">
        <f>SUM(I158:I163)</f>
        <v>50</v>
      </c>
      <c r="J157" s="45">
        <f t="shared" ref="J157:L157" si="56">SUM(J158:J163)</f>
        <v>50</v>
      </c>
      <c r="K157" s="45">
        <f t="shared" si="56"/>
        <v>50</v>
      </c>
      <c r="L157" s="39">
        <f t="shared" si="56"/>
        <v>0</v>
      </c>
    </row>
    <row r="158" spans="1:12" x14ac:dyDescent="0.25">
      <c r="A158" s="452"/>
      <c r="B158" s="471"/>
      <c r="C158" s="460"/>
      <c r="D158" s="102" t="s">
        <v>13</v>
      </c>
      <c r="E158" s="39">
        <f t="shared" si="27"/>
        <v>0</v>
      </c>
      <c r="F158" s="39">
        <v>0</v>
      </c>
      <c r="G158" s="39">
        <v>0</v>
      </c>
      <c r="H158" s="39">
        <v>0</v>
      </c>
      <c r="I158" s="39">
        <v>0</v>
      </c>
      <c r="J158" s="39">
        <v>0</v>
      </c>
      <c r="K158" s="39">
        <v>0</v>
      </c>
      <c r="L158" s="39">
        <v>0</v>
      </c>
    </row>
    <row r="159" spans="1:12" x14ac:dyDescent="0.25">
      <c r="A159" s="452"/>
      <c r="B159" s="471"/>
      <c r="C159" s="460"/>
      <c r="D159" s="102" t="s">
        <v>14</v>
      </c>
      <c r="E159" s="39">
        <f t="shared" si="27"/>
        <v>0</v>
      </c>
      <c r="F159" s="39">
        <v>0</v>
      </c>
      <c r="G159" s="39">
        <v>0</v>
      </c>
      <c r="H159" s="39">
        <v>0</v>
      </c>
      <c r="I159" s="39">
        <v>0</v>
      </c>
      <c r="J159" s="39">
        <v>0</v>
      </c>
      <c r="K159" s="39">
        <v>0</v>
      </c>
      <c r="L159" s="39">
        <v>0</v>
      </c>
    </row>
    <row r="160" spans="1:12" x14ac:dyDescent="0.25">
      <c r="A160" s="452"/>
      <c r="B160" s="471"/>
      <c r="C160" s="460"/>
      <c r="D160" s="102" t="s">
        <v>15</v>
      </c>
      <c r="E160" s="39">
        <f t="shared" si="27"/>
        <v>250</v>
      </c>
      <c r="F160" s="39">
        <v>0</v>
      </c>
      <c r="G160" s="39">
        <v>50</v>
      </c>
      <c r="H160" s="39">
        <v>50</v>
      </c>
      <c r="I160" s="39">
        <v>50</v>
      </c>
      <c r="J160" s="39">
        <v>50</v>
      </c>
      <c r="K160" s="39">
        <v>50</v>
      </c>
      <c r="L160" s="39">
        <v>0</v>
      </c>
    </row>
    <row r="161" spans="1:12" ht="30" x14ac:dyDescent="0.25">
      <c r="A161" s="452"/>
      <c r="B161" s="471"/>
      <c r="C161" s="460"/>
      <c r="D161" s="100" t="s">
        <v>94</v>
      </c>
      <c r="E161" s="39">
        <f t="shared" si="27"/>
        <v>0</v>
      </c>
      <c r="F161" s="39">
        <v>0</v>
      </c>
      <c r="G161" s="39">
        <v>0</v>
      </c>
      <c r="H161" s="39">
        <v>0</v>
      </c>
      <c r="I161" s="39">
        <v>0</v>
      </c>
      <c r="J161" s="39">
        <v>0</v>
      </c>
      <c r="K161" s="39">
        <v>0</v>
      </c>
      <c r="L161" s="39">
        <v>0</v>
      </c>
    </row>
    <row r="162" spans="1:12" x14ac:dyDescent="0.25">
      <c r="A162" s="452"/>
      <c r="B162" s="471"/>
      <c r="C162" s="460"/>
      <c r="D162" s="100" t="s">
        <v>93</v>
      </c>
      <c r="E162" s="39">
        <f t="shared" si="27"/>
        <v>0</v>
      </c>
      <c r="F162" s="39">
        <v>0</v>
      </c>
      <c r="G162" s="39">
        <v>0</v>
      </c>
      <c r="H162" s="39">
        <v>0</v>
      </c>
      <c r="I162" s="39">
        <v>0</v>
      </c>
      <c r="J162" s="39">
        <v>0</v>
      </c>
      <c r="K162" s="39">
        <v>0</v>
      </c>
      <c r="L162" s="39">
        <v>0</v>
      </c>
    </row>
    <row r="163" spans="1:12" x14ac:dyDescent="0.25">
      <c r="A163" s="453"/>
      <c r="B163" s="472"/>
      <c r="C163" s="460"/>
      <c r="D163" s="102" t="s">
        <v>18</v>
      </c>
      <c r="E163" s="39">
        <f t="shared" si="27"/>
        <v>0</v>
      </c>
      <c r="F163" s="39">
        <v>0</v>
      </c>
      <c r="G163" s="39">
        <v>0</v>
      </c>
      <c r="H163" s="39">
        <v>0</v>
      </c>
      <c r="I163" s="39">
        <v>0</v>
      </c>
      <c r="J163" s="39">
        <v>0</v>
      </c>
      <c r="K163" s="39">
        <v>0</v>
      </c>
      <c r="L163" s="39">
        <v>0</v>
      </c>
    </row>
    <row r="164" spans="1:12" s="40" customFormat="1" x14ac:dyDescent="0.25">
      <c r="A164" s="461" t="s">
        <v>127</v>
      </c>
      <c r="B164" s="462"/>
      <c r="C164" s="463"/>
      <c r="D164" s="102" t="s">
        <v>12</v>
      </c>
      <c r="E164" s="39">
        <f t="shared" si="27"/>
        <v>4420061.861599626</v>
      </c>
      <c r="F164" s="87">
        <f t="shared" ref="F164:H164" si="57">SUM(F165:F170)</f>
        <v>304110.96789000003</v>
      </c>
      <c r="G164" s="39">
        <f t="shared" si="57"/>
        <v>330577.97645000002</v>
      </c>
      <c r="H164" s="39">
        <f t="shared" si="57"/>
        <v>313702.0514</v>
      </c>
      <c r="I164" s="39">
        <f>SUM(I165:I170)</f>
        <v>368765.23455000005</v>
      </c>
      <c r="J164" s="39">
        <f t="shared" ref="J164:L164" si="58">SUM(J165:J170)</f>
        <v>374801.46281174</v>
      </c>
      <c r="K164" s="39">
        <f t="shared" si="58"/>
        <v>383382.03145340958</v>
      </c>
      <c r="L164" s="39">
        <f t="shared" si="58"/>
        <v>2344722.1370444759</v>
      </c>
    </row>
    <row r="165" spans="1:12" s="40" customFormat="1" x14ac:dyDescent="0.25">
      <c r="A165" s="464"/>
      <c r="B165" s="465"/>
      <c r="C165" s="466"/>
      <c r="D165" s="102" t="s">
        <v>13</v>
      </c>
      <c r="E165" s="39">
        <f t="shared" si="27"/>
        <v>312.29999999999995</v>
      </c>
      <c r="F165" s="87">
        <f t="shared" ref="F165:L170" si="59">F81+F88+F95+F130+F137+F158</f>
        <v>13.6</v>
      </c>
      <c r="G165" s="39">
        <f t="shared" si="59"/>
        <v>0</v>
      </c>
      <c r="H165" s="39">
        <f t="shared" si="59"/>
        <v>50.9</v>
      </c>
      <c r="I165" s="39">
        <f t="shared" si="59"/>
        <v>82.6</v>
      </c>
      <c r="J165" s="39">
        <f t="shared" si="59"/>
        <v>82.6</v>
      </c>
      <c r="K165" s="39">
        <f t="shared" si="59"/>
        <v>82.6</v>
      </c>
      <c r="L165" s="39">
        <f t="shared" si="59"/>
        <v>0</v>
      </c>
    </row>
    <row r="166" spans="1:12" s="40" customFormat="1" x14ac:dyDescent="0.25">
      <c r="A166" s="464"/>
      <c r="B166" s="465"/>
      <c r="C166" s="466"/>
      <c r="D166" s="102" t="s">
        <v>14</v>
      </c>
      <c r="E166" s="39">
        <f t="shared" si="27"/>
        <v>5223.2445600000001</v>
      </c>
      <c r="F166" s="87">
        <f t="shared" si="59"/>
        <v>914.27727000000004</v>
      </c>
      <c r="G166" s="39">
        <f t="shared" si="59"/>
        <v>691.5</v>
      </c>
      <c r="H166" s="39">
        <f t="shared" si="59"/>
        <v>672.66728999999998</v>
      </c>
      <c r="I166" s="39">
        <f t="shared" si="59"/>
        <v>903.59999999999991</v>
      </c>
      <c r="J166" s="39">
        <f t="shared" si="59"/>
        <v>655</v>
      </c>
      <c r="K166" s="39">
        <f t="shared" si="59"/>
        <v>1386.2</v>
      </c>
      <c r="L166" s="39">
        <f t="shared" si="59"/>
        <v>0</v>
      </c>
    </row>
    <row r="167" spans="1:12" s="40" customFormat="1" x14ac:dyDescent="0.25">
      <c r="A167" s="464"/>
      <c r="B167" s="465"/>
      <c r="C167" s="466"/>
      <c r="D167" s="102" t="s">
        <v>15</v>
      </c>
      <c r="E167" s="39">
        <f t="shared" si="27"/>
        <v>2841038.4185700007</v>
      </c>
      <c r="F167" s="87">
        <f t="shared" si="59"/>
        <v>303183.09062000003</v>
      </c>
      <c r="G167" s="39">
        <f t="shared" si="59"/>
        <v>329886.47645000002</v>
      </c>
      <c r="H167" s="39">
        <f t="shared" si="59"/>
        <v>312978.48411000002</v>
      </c>
      <c r="I167" s="39">
        <f t="shared" si="59"/>
        <v>308038.89823000005</v>
      </c>
      <c r="J167" s="39">
        <f t="shared" si="59"/>
        <v>208200.74176999999</v>
      </c>
      <c r="K167" s="39">
        <f t="shared" si="59"/>
        <v>197007.24677</v>
      </c>
      <c r="L167" s="39">
        <f t="shared" si="59"/>
        <v>1181743.48062</v>
      </c>
    </row>
    <row r="168" spans="1:12" s="40" customFormat="1" ht="30" x14ac:dyDescent="0.25">
      <c r="A168" s="464"/>
      <c r="B168" s="465"/>
      <c r="C168" s="466"/>
      <c r="D168" s="100" t="s">
        <v>94</v>
      </c>
      <c r="E168" s="39">
        <f t="shared" si="27"/>
        <v>0</v>
      </c>
      <c r="F168" s="39">
        <f t="shared" si="59"/>
        <v>0</v>
      </c>
      <c r="G168" s="39">
        <f t="shared" si="59"/>
        <v>0</v>
      </c>
      <c r="H168" s="39">
        <f t="shared" si="59"/>
        <v>0</v>
      </c>
      <c r="I168" s="39">
        <f t="shared" si="59"/>
        <v>0</v>
      </c>
      <c r="J168" s="39">
        <f t="shared" si="59"/>
        <v>0</v>
      </c>
      <c r="K168" s="39">
        <f t="shared" si="59"/>
        <v>0</v>
      </c>
      <c r="L168" s="39">
        <f t="shared" si="59"/>
        <v>0</v>
      </c>
    </row>
    <row r="169" spans="1:12" s="40" customFormat="1" x14ac:dyDescent="0.25">
      <c r="A169" s="464"/>
      <c r="B169" s="465"/>
      <c r="C169" s="466"/>
      <c r="D169" s="100" t="s">
        <v>93</v>
      </c>
      <c r="E169" s="39">
        <f t="shared" si="27"/>
        <v>0</v>
      </c>
      <c r="F169" s="39">
        <f t="shared" si="59"/>
        <v>0</v>
      </c>
      <c r="G169" s="39">
        <f t="shared" si="59"/>
        <v>0</v>
      </c>
      <c r="H169" s="39">
        <f t="shared" si="59"/>
        <v>0</v>
      </c>
      <c r="I169" s="39">
        <f t="shared" si="59"/>
        <v>0</v>
      </c>
      <c r="J169" s="39">
        <f t="shared" si="59"/>
        <v>0</v>
      </c>
      <c r="K169" s="39">
        <f t="shared" si="59"/>
        <v>0</v>
      </c>
      <c r="L169" s="39">
        <f t="shared" si="59"/>
        <v>0</v>
      </c>
    </row>
    <row r="170" spans="1:12" s="40" customFormat="1" x14ac:dyDescent="0.25">
      <c r="A170" s="467"/>
      <c r="B170" s="468"/>
      <c r="C170" s="469"/>
      <c r="D170" s="102" t="s">
        <v>18</v>
      </c>
      <c r="E170" s="39">
        <f t="shared" si="27"/>
        <v>1573487.8984696255</v>
      </c>
      <c r="F170" s="39">
        <f t="shared" si="59"/>
        <v>0</v>
      </c>
      <c r="G170" s="39">
        <f t="shared" si="59"/>
        <v>0</v>
      </c>
      <c r="H170" s="39">
        <f t="shared" si="59"/>
        <v>0</v>
      </c>
      <c r="I170" s="39">
        <f t="shared" si="59"/>
        <v>59740.136320000005</v>
      </c>
      <c r="J170" s="39">
        <f t="shared" si="59"/>
        <v>165863.12104174003</v>
      </c>
      <c r="K170" s="39">
        <f t="shared" si="59"/>
        <v>184905.9846834096</v>
      </c>
      <c r="L170" s="39">
        <f t="shared" si="59"/>
        <v>1162978.6564244758</v>
      </c>
    </row>
    <row r="171" spans="1:12" s="40" customFormat="1" x14ac:dyDescent="0.25">
      <c r="A171" s="444" t="s">
        <v>152</v>
      </c>
      <c r="B171" s="444"/>
      <c r="C171" s="444"/>
      <c r="D171" s="444"/>
      <c r="E171" s="444"/>
      <c r="F171" s="444"/>
      <c r="G171" s="444"/>
      <c r="H171" s="444"/>
      <c r="I171" s="444"/>
      <c r="J171" s="444"/>
      <c r="K171" s="444"/>
      <c r="L171" s="444"/>
    </row>
    <row r="172" spans="1:12" x14ac:dyDescent="0.25">
      <c r="A172" s="451" t="s">
        <v>129</v>
      </c>
      <c r="B172" s="476" t="s">
        <v>199</v>
      </c>
      <c r="C172" s="448" t="s">
        <v>123</v>
      </c>
      <c r="D172" s="102" t="s">
        <v>12</v>
      </c>
      <c r="E172" s="39">
        <f t="shared" ref="E172:E249" si="60">SUM(F172:L172)</f>
        <v>1184280.8231254411</v>
      </c>
      <c r="F172" s="87">
        <f t="shared" ref="F172:H172" si="61">SUM(F173:F178)</f>
        <v>92851.372900000002</v>
      </c>
      <c r="G172" s="39">
        <f t="shared" si="61"/>
        <v>92018.475919999997</v>
      </c>
      <c r="H172" s="39">
        <f t="shared" si="61"/>
        <v>100174.59561</v>
      </c>
      <c r="I172" s="39">
        <f>SUM(I173:I178)</f>
        <v>98401.142879999999</v>
      </c>
      <c r="J172" s="39">
        <f t="shared" ref="J172:L172" si="62">SUM(J173:J178)</f>
        <v>98845.839042569991</v>
      </c>
      <c r="K172" s="39">
        <f t="shared" si="62"/>
        <v>99606.301540672794</v>
      </c>
      <c r="L172" s="39">
        <f t="shared" si="62"/>
        <v>602383.09523219825</v>
      </c>
    </row>
    <row r="173" spans="1:12" x14ac:dyDescent="0.25">
      <c r="A173" s="452"/>
      <c r="B173" s="477"/>
      <c r="C173" s="449"/>
      <c r="D173" s="102" t="s">
        <v>13</v>
      </c>
      <c r="E173" s="39">
        <f t="shared" si="60"/>
        <v>0</v>
      </c>
      <c r="F173" s="39">
        <f>F180+F187</f>
        <v>0</v>
      </c>
      <c r="G173" s="39">
        <f t="shared" ref="G173:L173" si="63">G180+G187</f>
        <v>0</v>
      </c>
      <c r="H173" s="39">
        <f t="shared" si="63"/>
        <v>0</v>
      </c>
      <c r="I173" s="39">
        <f t="shared" si="63"/>
        <v>0</v>
      </c>
      <c r="J173" s="39">
        <f t="shared" si="63"/>
        <v>0</v>
      </c>
      <c r="K173" s="39">
        <f t="shared" si="63"/>
        <v>0</v>
      </c>
      <c r="L173" s="39">
        <f t="shared" si="63"/>
        <v>0</v>
      </c>
    </row>
    <row r="174" spans="1:12" x14ac:dyDescent="0.25">
      <c r="A174" s="452"/>
      <c r="B174" s="477"/>
      <c r="C174" s="449"/>
      <c r="D174" s="102" t="s">
        <v>14</v>
      </c>
      <c r="E174" s="39">
        <f t="shared" si="60"/>
        <v>0</v>
      </c>
      <c r="F174" s="39">
        <f t="shared" ref="F174:L178" si="64">F181+F188</f>
        <v>0</v>
      </c>
      <c r="G174" s="39">
        <f t="shared" si="64"/>
        <v>0</v>
      </c>
      <c r="H174" s="39">
        <f t="shared" si="64"/>
        <v>0</v>
      </c>
      <c r="I174" s="39">
        <f t="shared" si="64"/>
        <v>0</v>
      </c>
      <c r="J174" s="39">
        <f t="shared" si="64"/>
        <v>0</v>
      </c>
      <c r="K174" s="39">
        <f t="shared" si="64"/>
        <v>0</v>
      </c>
      <c r="L174" s="39">
        <f t="shared" si="64"/>
        <v>0</v>
      </c>
    </row>
    <row r="175" spans="1:12" x14ac:dyDescent="0.25">
      <c r="A175" s="452"/>
      <c r="B175" s="477"/>
      <c r="C175" s="449"/>
      <c r="D175" s="102" t="s">
        <v>15</v>
      </c>
      <c r="E175" s="39">
        <f t="shared" si="60"/>
        <v>1022478.8837400001</v>
      </c>
      <c r="F175" s="87">
        <f t="shared" si="64"/>
        <v>92851.372900000002</v>
      </c>
      <c r="G175" s="39">
        <f t="shared" si="64"/>
        <v>92018.475919999997</v>
      </c>
      <c r="H175" s="39">
        <f t="shared" si="64"/>
        <v>100174.59561</v>
      </c>
      <c r="I175" s="39">
        <f t="shared" si="64"/>
        <v>93669.00159</v>
      </c>
      <c r="J175" s="39">
        <f t="shared" si="64"/>
        <v>84925.50159</v>
      </c>
      <c r="K175" s="39">
        <f t="shared" si="64"/>
        <v>79834.276589999994</v>
      </c>
      <c r="L175" s="39">
        <f t="shared" si="64"/>
        <v>479005.65954000002</v>
      </c>
    </row>
    <row r="176" spans="1:12" ht="30" x14ac:dyDescent="0.25">
      <c r="A176" s="452"/>
      <c r="B176" s="477"/>
      <c r="C176" s="449"/>
      <c r="D176" s="100" t="s">
        <v>94</v>
      </c>
      <c r="E176" s="39">
        <f t="shared" si="60"/>
        <v>0</v>
      </c>
      <c r="F176" s="39">
        <f t="shared" si="64"/>
        <v>0</v>
      </c>
      <c r="G176" s="39">
        <f t="shared" si="64"/>
        <v>0</v>
      </c>
      <c r="H176" s="39">
        <f t="shared" si="64"/>
        <v>0</v>
      </c>
      <c r="I176" s="39">
        <f t="shared" si="64"/>
        <v>0</v>
      </c>
      <c r="J176" s="39">
        <f t="shared" si="64"/>
        <v>0</v>
      </c>
      <c r="K176" s="39">
        <f t="shared" si="64"/>
        <v>0</v>
      </c>
      <c r="L176" s="39">
        <f t="shared" si="64"/>
        <v>0</v>
      </c>
    </row>
    <row r="177" spans="1:12" x14ac:dyDescent="0.25">
      <c r="A177" s="452"/>
      <c r="B177" s="477"/>
      <c r="C177" s="449"/>
      <c r="D177" s="100" t="s">
        <v>93</v>
      </c>
      <c r="E177" s="39">
        <f t="shared" si="60"/>
        <v>0</v>
      </c>
      <c r="F177" s="39">
        <f t="shared" si="64"/>
        <v>0</v>
      </c>
      <c r="G177" s="39">
        <f t="shared" si="64"/>
        <v>0</v>
      </c>
      <c r="H177" s="39">
        <f t="shared" si="64"/>
        <v>0</v>
      </c>
      <c r="I177" s="39">
        <f t="shared" si="64"/>
        <v>0</v>
      </c>
      <c r="J177" s="39">
        <f t="shared" si="64"/>
        <v>0</v>
      </c>
      <c r="K177" s="39">
        <f t="shared" si="64"/>
        <v>0</v>
      </c>
      <c r="L177" s="39">
        <f t="shared" si="64"/>
        <v>0</v>
      </c>
    </row>
    <row r="178" spans="1:12" x14ac:dyDescent="0.25">
      <c r="A178" s="452"/>
      <c r="B178" s="477"/>
      <c r="C178" s="450"/>
      <c r="D178" s="102" t="s">
        <v>18</v>
      </c>
      <c r="E178" s="39">
        <f t="shared" si="60"/>
        <v>161801.93938544104</v>
      </c>
      <c r="F178" s="39">
        <f t="shared" si="64"/>
        <v>0</v>
      </c>
      <c r="G178" s="39">
        <f t="shared" si="64"/>
        <v>0</v>
      </c>
      <c r="H178" s="39">
        <f t="shared" si="64"/>
        <v>0</v>
      </c>
      <c r="I178" s="39">
        <f t="shared" si="64"/>
        <v>4732.1412899999996</v>
      </c>
      <c r="J178" s="39">
        <f t="shared" si="64"/>
        <v>13920.337452569991</v>
      </c>
      <c r="K178" s="39">
        <f t="shared" si="64"/>
        <v>19772.0249506728</v>
      </c>
      <c r="L178" s="39">
        <f t="shared" si="64"/>
        <v>123377.43569219825</v>
      </c>
    </row>
    <row r="179" spans="1:12" x14ac:dyDescent="0.25">
      <c r="A179" s="452"/>
      <c r="B179" s="477"/>
      <c r="C179" s="448" t="s">
        <v>128</v>
      </c>
      <c r="D179" s="102" t="s">
        <v>12</v>
      </c>
      <c r="E179" s="39">
        <f t="shared" ref="E179:E192" si="65">SUM(F179:L179)</f>
        <v>470742.06716208335</v>
      </c>
      <c r="F179" s="87">
        <f t="shared" ref="F179:H179" si="66">SUM(F180:F185)</f>
        <v>92851.372900000002</v>
      </c>
      <c r="G179" s="39">
        <f t="shared" si="66"/>
        <v>92018.475919999997</v>
      </c>
      <c r="H179" s="39">
        <f t="shared" si="66"/>
        <v>28346.295800000007</v>
      </c>
      <c r="I179" s="39">
        <f>SUM(I180:I185)</f>
        <v>28418.727789999997</v>
      </c>
      <c r="J179" s="39">
        <f t="shared" ref="J179:L179" si="67">SUM(J180:J185)</f>
        <v>28464.123334809996</v>
      </c>
      <c r="K179" s="39">
        <f t="shared" si="67"/>
        <v>28569.426059402394</v>
      </c>
      <c r="L179" s="39">
        <f t="shared" si="67"/>
        <v>172073.64535787093</v>
      </c>
    </row>
    <row r="180" spans="1:12" x14ac:dyDescent="0.25">
      <c r="A180" s="452"/>
      <c r="B180" s="477"/>
      <c r="C180" s="449"/>
      <c r="D180" s="102" t="s">
        <v>13</v>
      </c>
      <c r="E180" s="39">
        <f t="shared" si="65"/>
        <v>0</v>
      </c>
      <c r="F180" s="44">
        <v>0</v>
      </c>
      <c r="G180" s="44">
        <v>0</v>
      </c>
      <c r="H180" s="44">
        <v>0</v>
      </c>
      <c r="I180" s="44">
        <v>0</v>
      </c>
      <c r="J180" s="44">
        <v>0</v>
      </c>
      <c r="K180" s="44">
        <v>0</v>
      </c>
      <c r="L180" s="44">
        <v>0</v>
      </c>
    </row>
    <row r="181" spans="1:12" x14ac:dyDescent="0.25">
      <c r="A181" s="452"/>
      <c r="B181" s="477"/>
      <c r="C181" s="449"/>
      <c r="D181" s="102" t="s">
        <v>14</v>
      </c>
      <c r="E181" s="39">
        <f t="shared" si="65"/>
        <v>0</v>
      </c>
      <c r="F181" s="44">
        <v>0</v>
      </c>
      <c r="G181" s="44">
        <v>0</v>
      </c>
      <c r="H181" s="44">
        <v>0</v>
      </c>
      <c r="I181" s="44">
        <v>0</v>
      </c>
      <c r="J181" s="44">
        <v>0</v>
      </c>
      <c r="K181" s="44">
        <v>0</v>
      </c>
      <c r="L181" s="44">
        <v>0</v>
      </c>
    </row>
    <row r="182" spans="1:12" x14ac:dyDescent="0.25">
      <c r="A182" s="452"/>
      <c r="B182" s="477"/>
      <c r="C182" s="449"/>
      <c r="D182" s="102" t="s">
        <v>15</v>
      </c>
      <c r="E182" s="39">
        <f t="shared" si="65"/>
        <v>448479.24159999995</v>
      </c>
      <c r="F182" s="90">
        <f>82544.55051+66.45686+9630.86553+269.5+340</f>
        <v>92851.372900000002</v>
      </c>
      <c r="G182" s="44">
        <f>91909.77592-1-22+2680+637-350.3-2835</f>
        <v>92018.475919999997</v>
      </c>
      <c r="H182" s="44">
        <f>100174.59561-71828.29981</f>
        <v>28346.295800000007</v>
      </c>
      <c r="I182" s="44">
        <f>93669.00159-66269.89637</f>
        <v>27399.105219999998</v>
      </c>
      <c r="J182" s="44">
        <f>84925.50159-57882.39637</f>
        <v>27043.105219999998</v>
      </c>
      <c r="K182" s="44">
        <f>79834.27659-54002.72137</f>
        <v>25831.555219999995</v>
      </c>
      <c r="L182" s="44">
        <f>K182*6</f>
        <v>154989.33131999997</v>
      </c>
    </row>
    <row r="183" spans="1:12" ht="30" x14ac:dyDescent="0.25">
      <c r="A183" s="452"/>
      <c r="B183" s="477"/>
      <c r="C183" s="449"/>
      <c r="D183" s="100" t="s">
        <v>94</v>
      </c>
      <c r="E183" s="39">
        <f t="shared" si="65"/>
        <v>0</v>
      </c>
      <c r="F183" s="44">
        <v>0</v>
      </c>
      <c r="G183" s="44">
        <v>0</v>
      </c>
      <c r="H183" s="44">
        <v>0</v>
      </c>
      <c r="I183" s="44">
        <v>0</v>
      </c>
      <c r="J183" s="44">
        <v>0</v>
      </c>
      <c r="K183" s="44">
        <v>0</v>
      </c>
      <c r="L183" s="44">
        <v>0</v>
      </c>
    </row>
    <row r="184" spans="1:12" x14ac:dyDescent="0.25">
      <c r="A184" s="452"/>
      <c r="B184" s="477"/>
      <c r="C184" s="449"/>
      <c r="D184" s="100" t="s">
        <v>93</v>
      </c>
      <c r="E184" s="39">
        <f t="shared" si="65"/>
        <v>0</v>
      </c>
      <c r="F184" s="44">
        <v>0</v>
      </c>
      <c r="G184" s="44">
        <v>0</v>
      </c>
      <c r="H184" s="44">
        <v>0</v>
      </c>
      <c r="I184" s="81">
        <v>0</v>
      </c>
      <c r="J184" s="44">
        <v>0</v>
      </c>
      <c r="K184" s="44">
        <v>0</v>
      </c>
      <c r="L184" s="44">
        <v>0</v>
      </c>
    </row>
    <row r="185" spans="1:12" x14ac:dyDescent="0.25">
      <c r="A185" s="452"/>
      <c r="B185" s="477"/>
      <c r="C185" s="450"/>
      <c r="D185" s="102" t="s">
        <v>18</v>
      </c>
      <c r="E185" s="39">
        <f t="shared" si="65"/>
        <v>22262.825562083373</v>
      </c>
      <c r="F185" s="44">
        <v>0</v>
      </c>
      <c r="G185" s="44">
        <v>0</v>
      </c>
      <c r="H185" s="82">
        <v>0</v>
      </c>
      <c r="I185" s="28">
        <f>4732.14129-3712.51872</f>
        <v>1019.6225699999995</v>
      </c>
      <c r="J185" s="43">
        <f>(I179-J182)*103.3%</f>
        <v>1421.0181148099994</v>
      </c>
      <c r="K185" s="43">
        <f>(J179-K182)*104%</f>
        <v>2737.8708394024011</v>
      </c>
      <c r="L185" s="80">
        <f>(K179*6-L182)*104%</f>
        <v>17084.314037870976</v>
      </c>
    </row>
    <row r="186" spans="1:12" x14ac:dyDescent="0.25">
      <c r="A186" s="452"/>
      <c r="B186" s="477"/>
      <c r="C186" s="448" t="s">
        <v>209</v>
      </c>
      <c r="D186" s="102" t="s">
        <v>12</v>
      </c>
      <c r="E186" s="39">
        <f t="shared" si="65"/>
        <v>713538.75596335763</v>
      </c>
      <c r="F186" s="44">
        <f t="shared" ref="F186:H186" si="68">SUM(F187:F192)</f>
        <v>0</v>
      </c>
      <c r="G186" s="44">
        <f t="shared" si="68"/>
        <v>0</v>
      </c>
      <c r="H186" s="44">
        <f t="shared" si="68"/>
        <v>71828.299809999997</v>
      </c>
      <c r="I186" s="44">
        <f>SUM(I187:I192)</f>
        <v>69982.415089999995</v>
      </c>
      <c r="J186" s="44">
        <f t="shared" ref="J186:L186" si="69">SUM(J187:J192)</f>
        <v>70381.715707759999</v>
      </c>
      <c r="K186" s="44">
        <f t="shared" si="69"/>
        <v>71036.875481270399</v>
      </c>
      <c r="L186" s="44">
        <f t="shared" si="69"/>
        <v>430309.44987432729</v>
      </c>
    </row>
    <row r="187" spans="1:12" x14ac:dyDescent="0.25">
      <c r="A187" s="452"/>
      <c r="B187" s="477"/>
      <c r="C187" s="449"/>
      <c r="D187" s="102" t="s">
        <v>13</v>
      </c>
      <c r="E187" s="39">
        <f t="shared" si="65"/>
        <v>0</v>
      </c>
      <c r="F187" s="44"/>
      <c r="G187" s="44"/>
      <c r="H187" s="82"/>
      <c r="I187" s="42"/>
      <c r="J187" s="80"/>
      <c r="K187" s="44"/>
      <c r="L187" s="80"/>
    </row>
    <row r="188" spans="1:12" x14ac:dyDescent="0.25">
      <c r="A188" s="452"/>
      <c r="B188" s="477"/>
      <c r="C188" s="449"/>
      <c r="D188" s="102" t="s">
        <v>14</v>
      </c>
      <c r="E188" s="39">
        <f t="shared" si="65"/>
        <v>0</v>
      </c>
      <c r="F188" s="44"/>
      <c r="G188" s="44"/>
      <c r="H188" s="82"/>
      <c r="I188" s="42"/>
      <c r="J188" s="80"/>
      <c r="K188" s="44"/>
      <c r="L188" s="80"/>
    </row>
    <row r="189" spans="1:12" x14ac:dyDescent="0.25">
      <c r="A189" s="452"/>
      <c r="B189" s="477"/>
      <c r="C189" s="449"/>
      <c r="D189" s="102" t="s">
        <v>15</v>
      </c>
      <c r="E189" s="39">
        <f t="shared" si="65"/>
        <v>573999.64214000001</v>
      </c>
      <c r="F189" s="44"/>
      <c r="G189" s="44"/>
      <c r="H189" s="82">
        <v>71828.299809999997</v>
      </c>
      <c r="I189" s="42">
        <v>66269.896370000002</v>
      </c>
      <c r="J189" s="80">
        <v>57882.396370000002</v>
      </c>
      <c r="K189" s="44">
        <v>54002.721369999999</v>
      </c>
      <c r="L189" s="80">
        <f>K189*6</f>
        <v>324016.32822000002</v>
      </c>
    </row>
    <row r="190" spans="1:12" ht="30" x14ac:dyDescent="0.25">
      <c r="A190" s="452"/>
      <c r="B190" s="477"/>
      <c r="C190" s="449"/>
      <c r="D190" s="100" t="s">
        <v>94</v>
      </c>
      <c r="E190" s="39">
        <f t="shared" si="65"/>
        <v>0</v>
      </c>
      <c r="F190" s="44"/>
      <c r="G190" s="44"/>
      <c r="H190" s="82"/>
      <c r="I190" s="42"/>
      <c r="J190" s="80"/>
      <c r="K190" s="44"/>
      <c r="L190" s="80"/>
    </row>
    <row r="191" spans="1:12" x14ac:dyDescent="0.25">
      <c r="A191" s="452"/>
      <c r="B191" s="477"/>
      <c r="C191" s="449"/>
      <c r="D191" s="100" t="s">
        <v>93</v>
      </c>
      <c r="E191" s="39">
        <f t="shared" si="65"/>
        <v>0</v>
      </c>
      <c r="F191" s="44"/>
      <c r="G191" s="44"/>
      <c r="H191" s="82"/>
      <c r="I191" s="42"/>
      <c r="J191" s="80"/>
      <c r="K191" s="44"/>
      <c r="L191" s="80"/>
    </row>
    <row r="192" spans="1:12" x14ac:dyDescent="0.25">
      <c r="A192" s="453"/>
      <c r="B192" s="478"/>
      <c r="C192" s="450"/>
      <c r="D192" s="102" t="s">
        <v>18</v>
      </c>
      <c r="E192" s="39">
        <f t="shared" si="65"/>
        <v>139539.11382335768</v>
      </c>
      <c r="F192" s="44"/>
      <c r="G192" s="44"/>
      <c r="H192" s="82"/>
      <c r="I192" s="42">
        <v>3712.51872</v>
      </c>
      <c r="J192" s="43">
        <f>(I186-J189)*103.3%</f>
        <v>12499.319337759991</v>
      </c>
      <c r="K192" s="43">
        <f>(J186-K189)*104%</f>
        <v>17034.1541112704</v>
      </c>
      <c r="L192" s="80">
        <f>(K186*6-L189)*104%</f>
        <v>106293.12165432727</v>
      </c>
    </row>
    <row r="193" spans="1:12" x14ac:dyDescent="0.25">
      <c r="A193" s="451" t="s">
        <v>130</v>
      </c>
      <c r="B193" s="470" t="s">
        <v>200</v>
      </c>
      <c r="C193" s="460" t="s">
        <v>128</v>
      </c>
      <c r="D193" s="102" t="s">
        <v>12</v>
      </c>
      <c r="E193" s="39">
        <f t="shared" si="60"/>
        <v>770</v>
      </c>
      <c r="F193" s="44">
        <f t="shared" ref="F193:H193" si="70">SUM(F194:F199)</f>
        <v>0</v>
      </c>
      <c r="G193" s="44">
        <f>SUM(G194:G199)</f>
        <v>70</v>
      </c>
      <c r="H193" s="44">
        <f t="shared" si="70"/>
        <v>70</v>
      </c>
      <c r="I193" s="79">
        <f>SUM(I194:I199)</f>
        <v>70</v>
      </c>
      <c r="J193" s="44">
        <f t="shared" ref="J193:L193" si="71">SUM(J194:J199)</f>
        <v>70</v>
      </c>
      <c r="K193" s="44">
        <f t="shared" si="71"/>
        <v>70</v>
      </c>
      <c r="L193" s="44">
        <f t="shared" si="71"/>
        <v>420</v>
      </c>
    </row>
    <row r="194" spans="1:12" x14ac:dyDescent="0.25">
      <c r="A194" s="452"/>
      <c r="B194" s="471"/>
      <c r="C194" s="460"/>
      <c r="D194" s="102" t="s">
        <v>13</v>
      </c>
      <c r="E194" s="39">
        <f t="shared" si="60"/>
        <v>0</v>
      </c>
      <c r="F194" s="39">
        <v>0</v>
      </c>
      <c r="G194" s="39">
        <v>0</v>
      </c>
      <c r="H194" s="39">
        <v>0</v>
      </c>
      <c r="I194" s="39">
        <v>0</v>
      </c>
      <c r="J194" s="39">
        <v>0</v>
      </c>
      <c r="K194" s="39">
        <v>0</v>
      </c>
      <c r="L194" s="39">
        <v>0</v>
      </c>
    </row>
    <row r="195" spans="1:12" x14ac:dyDescent="0.25">
      <c r="A195" s="452"/>
      <c r="B195" s="471"/>
      <c r="C195" s="460"/>
      <c r="D195" s="102" t="s">
        <v>14</v>
      </c>
      <c r="E195" s="39">
        <f t="shared" si="60"/>
        <v>0</v>
      </c>
      <c r="F195" s="39">
        <v>0</v>
      </c>
      <c r="G195" s="39">
        <v>0</v>
      </c>
      <c r="H195" s="39">
        <v>0</v>
      </c>
      <c r="I195" s="39">
        <v>0</v>
      </c>
      <c r="J195" s="39">
        <v>0</v>
      </c>
      <c r="K195" s="39">
        <v>0</v>
      </c>
      <c r="L195" s="39">
        <v>0</v>
      </c>
    </row>
    <row r="196" spans="1:12" x14ac:dyDescent="0.25">
      <c r="A196" s="452"/>
      <c r="B196" s="471"/>
      <c r="C196" s="460"/>
      <c r="D196" s="102" t="s">
        <v>15</v>
      </c>
      <c r="E196" s="39">
        <f t="shared" si="60"/>
        <v>770</v>
      </c>
      <c r="F196" s="39">
        <v>0</v>
      </c>
      <c r="G196" s="39">
        <v>70</v>
      </c>
      <c r="H196" s="39">
        <v>70</v>
      </c>
      <c r="I196" s="39">
        <v>70</v>
      </c>
      <c r="J196" s="39">
        <v>70</v>
      </c>
      <c r="K196" s="39">
        <v>70</v>
      </c>
      <c r="L196" s="39">
        <f>K196*6</f>
        <v>420</v>
      </c>
    </row>
    <row r="197" spans="1:12" ht="30" x14ac:dyDescent="0.25">
      <c r="A197" s="452"/>
      <c r="B197" s="471"/>
      <c r="C197" s="460"/>
      <c r="D197" s="100" t="s">
        <v>94</v>
      </c>
      <c r="E197" s="39">
        <f t="shared" si="60"/>
        <v>0</v>
      </c>
      <c r="F197" s="39">
        <v>0</v>
      </c>
      <c r="G197" s="39">
        <v>0</v>
      </c>
      <c r="H197" s="39">
        <v>0</v>
      </c>
      <c r="I197" s="39">
        <v>0</v>
      </c>
      <c r="J197" s="39">
        <v>0</v>
      </c>
      <c r="K197" s="39">
        <v>0</v>
      </c>
      <c r="L197" s="39">
        <v>0</v>
      </c>
    </row>
    <row r="198" spans="1:12" x14ac:dyDescent="0.25">
      <c r="A198" s="452"/>
      <c r="B198" s="471"/>
      <c r="C198" s="460"/>
      <c r="D198" s="100" t="s">
        <v>93</v>
      </c>
      <c r="E198" s="39">
        <f t="shared" si="60"/>
        <v>0</v>
      </c>
      <c r="F198" s="39">
        <v>0</v>
      </c>
      <c r="G198" s="39">
        <v>0</v>
      </c>
      <c r="H198" s="39">
        <v>0</v>
      </c>
      <c r="I198" s="39">
        <v>0</v>
      </c>
      <c r="J198" s="39">
        <v>0</v>
      </c>
      <c r="K198" s="39">
        <v>0</v>
      </c>
      <c r="L198" s="39">
        <v>0</v>
      </c>
    </row>
    <row r="199" spans="1:12" x14ac:dyDescent="0.25">
      <c r="A199" s="453"/>
      <c r="B199" s="472"/>
      <c r="C199" s="460"/>
      <c r="D199" s="102" t="s">
        <v>18</v>
      </c>
      <c r="E199" s="39">
        <f t="shared" si="60"/>
        <v>0</v>
      </c>
      <c r="F199" s="39">
        <v>0</v>
      </c>
      <c r="G199" s="39">
        <v>0</v>
      </c>
      <c r="H199" s="39">
        <v>0</v>
      </c>
      <c r="I199" s="39">
        <v>0</v>
      </c>
      <c r="J199" s="39">
        <v>0</v>
      </c>
      <c r="K199" s="39">
        <v>0</v>
      </c>
      <c r="L199" s="39">
        <v>0</v>
      </c>
    </row>
    <row r="200" spans="1:12" x14ac:dyDescent="0.25">
      <c r="A200" s="461" t="s">
        <v>131</v>
      </c>
      <c r="B200" s="462"/>
      <c r="C200" s="463"/>
      <c r="D200" s="102" t="s">
        <v>12</v>
      </c>
      <c r="E200" s="39">
        <f t="shared" si="60"/>
        <v>1185050.8231254411</v>
      </c>
      <c r="F200" s="87">
        <f t="shared" ref="F200:H200" si="72">SUM(F201:F206)</f>
        <v>92851.372900000002</v>
      </c>
      <c r="G200" s="39">
        <f t="shared" si="72"/>
        <v>92088.475919999997</v>
      </c>
      <c r="H200" s="39">
        <f t="shared" si="72"/>
        <v>100244.59561</v>
      </c>
      <c r="I200" s="39">
        <f>SUM(I201:I206)</f>
        <v>98471.142879999999</v>
      </c>
      <c r="J200" s="39">
        <f t="shared" ref="J200:L200" si="73">SUM(J201:J206)</f>
        <v>98915.839042569991</v>
      </c>
      <c r="K200" s="39">
        <f t="shared" si="73"/>
        <v>99676.301540672794</v>
      </c>
      <c r="L200" s="39">
        <f t="shared" si="73"/>
        <v>602803.09523219825</v>
      </c>
    </row>
    <row r="201" spans="1:12" x14ac:dyDescent="0.25">
      <c r="A201" s="464"/>
      <c r="B201" s="465"/>
      <c r="C201" s="466"/>
      <c r="D201" s="102" t="s">
        <v>13</v>
      </c>
      <c r="E201" s="39">
        <f t="shared" si="60"/>
        <v>0</v>
      </c>
      <c r="F201" s="39">
        <f>F173+F194</f>
        <v>0</v>
      </c>
      <c r="G201" s="39">
        <f t="shared" ref="G201:H201" si="74">G173+G194</f>
        <v>0</v>
      </c>
      <c r="H201" s="39">
        <f t="shared" si="74"/>
        <v>0</v>
      </c>
      <c r="I201" s="39">
        <f>I173+I194</f>
        <v>0</v>
      </c>
      <c r="J201" s="39">
        <f t="shared" ref="J201:L201" si="75">J173+J194</f>
        <v>0</v>
      </c>
      <c r="K201" s="39">
        <f t="shared" si="75"/>
        <v>0</v>
      </c>
      <c r="L201" s="39">
        <f t="shared" si="75"/>
        <v>0</v>
      </c>
    </row>
    <row r="202" spans="1:12" x14ac:dyDescent="0.25">
      <c r="A202" s="464"/>
      <c r="B202" s="465"/>
      <c r="C202" s="466"/>
      <c r="D202" s="102" t="s">
        <v>14</v>
      </c>
      <c r="E202" s="39">
        <f t="shared" si="60"/>
        <v>0</v>
      </c>
      <c r="F202" s="39">
        <f t="shared" ref="F202:L206" si="76">F174+F195</f>
        <v>0</v>
      </c>
      <c r="G202" s="39">
        <f t="shared" si="76"/>
        <v>0</v>
      </c>
      <c r="H202" s="39">
        <f t="shared" si="76"/>
        <v>0</v>
      </c>
      <c r="I202" s="39">
        <f t="shared" si="76"/>
        <v>0</v>
      </c>
      <c r="J202" s="39">
        <f t="shared" si="76"/>
        <v>0</v>
      </c>
      <c r="K202" s="39">
        <f t="shared" si="76"/>
        <v>0</v>
      </c>
      <c r="L202" s="39">
        <f t="shared" si="76"/>
        <v>0</v>
      </c>
    </row>
    <row r="203" spans="1:12" x14ac:dyDescent="0.25">
      <c r="A203" s="464"/>
      <c r="B203" s="465"/>
      <c r="C203" s="466"/>
      <c r="D203" s="102" t="s">
        <v>15</v>
      </c>
      <c r="E203" s="39">
        <f t="shared" si="60"/>
        <v>1023248.8837400001</v>
      </c>
      <c r="F203" s="87">
        <f t="shared" si="76"/>
        <v>92851.372900000002</v>
      </c>
      <c r="G203" s="39">
        <f t="shared" si="76"/>
        <v>92088.475919999997</v>
      </c>
      <c r="H203" s="39">
        <f t="shared" si="76"/>
        <v>100244.59561</v>
      </c>
      <c r="I203" s="39">
        <f t="shared" si="76"/>
        <v>93739.00159</v>
      </c>
      <c r="J203" s="39">
        <f t="shared" si="76"/>
        <v>84995.50159</v>
      </c>
      <c r="K203" s="39">
        <f t="shared" si="76"/>
        <v>79904.276589999994</v>
      </c>
      <c r="L203" s="39">
        <f t="shared" si="76"/>
        <v>479425.65954000002</v>
      </c>
    </row>
    <row r="204" spans="1:12" ht="30" x14ac:dyDescent="0.25">
      <c r="A204" s="464"/>
      <c r="B204" s="465"/>
      <c r="C204" s="466"/>
      <c r="D204" s="100" t="s">
        <v>94</v>
      </c>
      <c r="E204" s="39">
        <f t="shared" si="60"/>
        <v>0</v>
      </c>
      <c r="F204" s="39">
        <f t="shared" si="76"/>
        <v>0</v>
      </c>
      <c r="G204" s="39">
        <f t="shared" si="76"/>
        <v>0</v>
      </c>
      <c r="H204" s="39">
        <f t="shared" si="76"/>
        <v>0</v>
      </c>
      <c r="I204" s="39">
        <f t="shared" si="76"/>
        <v>0</v>
      </c>
      <c r="J204" s="39">
        <f t="shared" si="76"/>
        <v>0</v>
      </c>
      <c r="K204" s="39">
        <f t="shared" si="76"/>
        <v>0</v>
      </c>
      <c r="L204" s="39">
        <f t="shared" si="76"/>
        <v>0</v>
      </c>
    </row>
    <row r="205" spans="1:12" x14ac:dyDescent="0.25">
      <c r="A205" s="464"/>
      <c r="B205" s="465"/>
      <c r="C205" s="466"/>
      <c r="D205" s="100" t="s">
        <v>93</v>
      </c>
      <c r="E205" s="39">
        <f t="shared" si="60"/>
        <v>0</v>
      </c>
      <c r="F205" s="39">
        <f t="shared" si="76"/>
        <v>0</v>
      </c>
      <c r="G205" s="39">
        <f t="shared" si="76"/>
        <v>0</v>
      </c>
      <c r="H205" s="39">
        <f t="shared" si="76"/>
        <v>0</v>
      </c>
      <c r="I205" s="39">
        <f t="shared" si="76"/>
        <v>0</v>
      </c>
      <c r="J205" s="39">
        <f t="shared" si="76"/>
        <v>0</v>
      </c>
      <c r="K205" s="39">
        <f t="shared" si="76"/>
        <v>0</v>
      </c>
      <c r="L205" s="39">
        <f t="shared" si="76"/>
        <v>0</v>
      </c>
    </row>
    <row r="206" spans="1:12" x14ac:dyDescent="0.25">
      <c r="A206" s="467"/>
      <c r="B206" s="468"/>
      <c r="C206" s="469"/>
      <c r="D206" s="102" t="s">
        <v>18</v>
      </c>
      <c r="E206" s="39">
        <f t="shared" si="60"/>
        <v>161801.93938544104</v>
      </c>
      <c r="F206" s="39">
        <f t="shared" si="76"/>
        <v>0</v>
      </c>
      <c r="G206" s="39">
        <f t="shared" si="76"/>
        <v>0</v>
      </c>
      <c r="H206" s="39">
        <f t="shared" si="76"/>
        <v>0</v>
      </c>
      <c r="I206" s="39">
        <f t="shared" si="76"/>
        <v>4732.1412899999996</v>
      </c>
      <c r="J206" s="39">
        <f t="shared" si="76"/>
        <v>13920.337452569991</v>
      </c>
      <c r="K206" s="39">
        <f t="shared" si="76"/>
        <v>19772.0249506728</v>
      </c>
      <c r="L206" s="39">
        <f t="shared" si="76"/>
        <v>123377.43569219825</v>
      </c>
    </row>
    <row r="207" spans="1:12" x14ac:dyDescent="0.25">
      <c r="A207" s="491" t="s">
        <v>96</v>
      </c>
      <c r="B207" s="492"/>
      <c r="C207" s="493"/>
      <c r="D207" s="102" t="s">
        <v>12</v>
      </c>
      <c r="E207" s="39">
        <f t="shared" ref="E207" si="77">SUM(F207:L207)</f>
        <v>7165491.7007850669</v>
      </c>
      <c r="F207" s="87">
        <f t="shared" ref="F207:H207" si="78">SUM(F208:F213)</f>
        <v>677622.10574000014</v>
      </c>
      <c r="G207" s="39">
        <f t="shared" si="78"/>
        <v>696859.24146000005</v>
      </c>
      <c r="H207" s="39">
        <f t="shared" si="78"/>
        <v>682112.50141999999</v>
      </c>
      <c r="I207" s="39">
        <f>SUM(I208:I213)</f>
        <v>980330.17703999998</v>
      </c>
      <c r="J207" s="39">
        <f t="shared" ref="J207:L207" si="79">SUM(J208:J213)</f>
        <v>654347.10985431005</v>
      </c>
      <c r="K207" s="39">
        <f t="shared" si="79"/>
        <v>486195.33299408236</v>
      </c>
      <c r="L207" s="39">
        <f t="shared" si="79"/>
        <v>2988025.2322766744</v>
      </c>
    </row>
    <row r="208" spans="1:12" x14ac:dyDescent="0.25">
      <c r="A208" s="494"/>
      <c r="B208" s="495"/>
      <c r="C208" s="496"/>
      <c r="D208" s="102" t="s">
        <v>13</v>
      </c>
      <c r="E208" s="39">
        <f t="shared" si="60"/>
        <v>8432.3000000000011</v>
      </c>
      <c r="F208" s="87">
        <f t="shared" ref="F208:L213" si="80">F73+F165+F201</f>
        <v>13.6</v>
      </c>
      <c r="G208" s="39">
        <f t="shared" si="80"/>
        <v>0</v>
      </c>
      <c r="H208" s="39">
        <f t="shared" si="80"/>
        <v>50.9</v>
      </c>
      <c r="I208" s="44">
        <f t="shared" si="80"/>
        <v>5082.6000000000004</v>
      </c>
      <c r="J208" s="44">
        <f t="shared" si="80"/>
        <v>3202.6</v>
      </c>
      <c r="K208" s="44">
        <f t="shared" si="80"/>
        <v>82.6</v>
      </c>
      <c r="L208" s="39">
        <f t="shared" si="80"/>
        <v>0</v>
      </c>
    </row>
    <row r="209" spans="1:13" x14ac:dyDescent="0.25">
      <c r="A209" s="494"/>
      <c r="B209" s="495"/>
      <c r="C209" s="496"/>
      <c r="D209" s="102" t="s">
        <v>14</v>
      </c>
      <c r="E209" s="39">
        <f t="shared" si="60"/>
        <v>20147.844560000001</v>
      </c>
      <c r="F209" s="87">
        <f t="shared" si="80"/>
        <v>6558.7772700000005</v>
      </c>
      <c r="G209" s="39">
        <f t="shared" si="80"/>
        <v>4891.5</v>
      </c>
      <c r="H209" s="39">
        <f t="shared" si="80"/>
        <v>872.66728999999998</v>
      </c>
      <c r="I209" s="44">
        <f t="shared" si="80"/>
        <v>903.59999999999991</v>
      </c>
      <c r="J209" s="44">
        <f t="shared" si="80"/>
        <v>5535.1</v>
      </c>
      <c r="K209" s="44">
        <f t="shared" si="80"/>
        <v>1386.2</v>
      </c>
      <c r="L209" s="39">
        <f t="shared" si="80"/>
        <v>0</v>
      </c>
    </row>
    <row r="210" spans="1:13" x14ac:dyDescent="0.25">
      <c r="A210" s="494"/>
      <c r="B210" s="495"/>
      <c r="C210" s="496"/>
      <c r="D210" s="102" t="s">
        <v>15</v>
      </c>
      <c r="E210" s="39">
        <f t="shared" si="60"/>
        <v>4701091.9994099997</v>
      </c>
      <c r="F210" s="87">
        <f t="shared" si="80"/>
        <v>671049.72847000009</v>
      </c>
      <c r="G210" s="39">
        <f t="shared" si="80"/>
        <v>691967.74146000005</v>
      </c>
      <c r="H210" s="39">
        <f t="shared" si="80"/>
        <v>681188.93412999995</v>
      </c>
      <c r="I210" s="39">
        <f t="shared" si="80"/>
        <v>424188.66347000003</v>
      </c>
      <c r="J210" s="39">
        <f t="shared" si="80"/>
        <v>294616.26835999999</v>
      </c>
      <c r="K210" s="39">
        <f t="shared" si="80"/>
        <v>276911.52335999999</v>
      </c>
      <c r="L210" s="39">
        <f t="shared" si="80"/>
        <v>1661169.14016</v>
      </c>
    </row>
    <row r="211" spans="1:13" ht="30" x14ac:dyDescent="0.25">
      <c r="A211" s="494"/>
      <c r="B211" s="495"/>
      <c r="C211" s="496"/>
      <c r="D211" s="100" t="s">
        <v>94</v>
      </c>
      <c r="E211" s="39">
        <f t="shared" si="60"/>
        <v>0</v>
      </c>
      <c r="F211" s="39">
        <f t="shared" si="80"/>
        <v>0</v>
      </c>
      <c r="G211" s="39">
        <f t="shared" si="80"/>
        <v>0</v>
      </c>
      <c r="H211" s="39">
        <f t="shared" si="80"/>
        <v>0</v>
      </c>
      <c r="I211" s="39">
        <f t="shared" si="80"/>
        <v>0</v>
      </c>
      <c r="J211" s="39">
        <f t="shared" si="80"/>
        <v>0</v>
      </c>
      <c r="K211" s="39">
        <f t="shared" si="80"/>
        <v>0</v>
      </c>
      <c r="L211" s="39">
        <f t="shared" si="80"/>
        <v>0</v>
      </c>
    </row>
    <row r="212" spans="1:13" x14ac:dyDescent="0.25">
      <c r="A212" s="494"/>
      <c r="B212" s="495"/>
      <c r="C212" s="496"/>
      <c r="D212" s="100" t="s">
        <v>93</v>
      </c>
      <c r="E212" s="39">
        <f t="shared" si="60"/>
        <v>0</v>
      </c>
      <c r="F212" s="39">
        <f t="shared" si="80"/>
        <v>0</v>
      </c>
      <c r="G212" s="39">
        <f t="shared" si="80"/>
        <v>0</v>
      </c>
      <c r="H212" s="39">
        <f t="shared" si="80"/>
        <v>0</v>
      </c>
      <c r="I212" s="39">
        <f t="shared" si="80"/>
        <v>0</v>
      </c>
      <c r="J212" s="39">
        <f t="shared" si="80"/>
        <v>0</v>
      </c>
      <c r="K212" s="39">
        <f t="shared" si="80"/>
        <v>0</v>
      </c>
      <c r="L212" s="39">
        <f t="shared" si="80"/>
        <v>0</v>
      </c>
    </row>
    <row r="213" spans="1:13" x14ac:dyDescent="0.25">
      <c r="A213" s="497"/>
      <c r="B213" s="498"/>
      <c r="C213" s="499"/>
      <c r="D213" s="102" t="s">
        <v>18</v>
      </c>
      <c r="E213" s="39">
        <f t="shared" si="60"/>
        <v>2435819.5568150664</v>
      </c>
      <c r="F213" s="39">
        <f t="shared" si="80"/>
        <v>0</v>
      </c>
      <c r="G213" s="39">
        <f t="shared" si="80"/>
        <v>0</v>
      </c>
      <c r="H213" s="39">
        <f t="shared" si="80"/>
        <v>0</v>
      </c>
      <c r="I213" s="39">
        <f t="shared" si="80"/>
        <v>550155.31357</v>
      </c>
      <c r="J213" s="39">
        <f t="shared" si="80"/>
        <v>350993.14149431</v>
      </c>
      <c r="K213" s="39">
        <f t="shared" si="80"/>
        <v>207815.00963408238</v>
      </c>
      <c r="L213" s="39">
        <f t="shared" si="80"/>
        <v>1326856.0921166742</v>
      </c>
    </row>
    <row r="214" spans="1:13" x14ac:dyDescent="0.25">
      <c r="A214" s="488" t="s">
        <v>97</v>
      </c>
      <c r="B214" s="489"/>
      <c r="C214" s="490"/>
      <c r="D214" s="102" t="s">
        <v>54</v>
      </c>
      <c r="E214" s="103" t="s">
        <v>54</v>
      </c>
      <c r="F214" s="103"/>
      <c r="G214" s="103"/>
      <c r="H214" s="103"/>
      <c r="I214" s="103" t="s">
        <v>54</v>
      </c>
      <c r="J214" s="103" t="s">
        <v>54</v>
      </c>
      <c r="K214" s="103"/>
      <c r="L214" s="103" t="s">
        <v>54</v>
      </c>
    </row>
    <row r="215" spans="1:13" s="40" customFormat="1" x14ac:dyDescent="0.25">
      <c r="A215" s="500" t="s">
        <v>98</v>
      </c>
      <c r="B215" s="501"/>
      <c r="C215" s="502"/>
      <c r="D215" s="102" t="s">
        <v>12</v>
      </c>
      <c r="E215" s="48">
        <f t="shared" si="60"/>
        <v>0</v>
      </c>
      <c r="F215" s="48">
        <f t="shared" ref="F215:L215" si="81">SUM(F216:F221)</f>
        <v>0</v>
      </c>
      <c r="G215" s="48">
        <f t="shared" si="81"/>
        <v>0</v>
      </c>
      <c r="H215" s="48">
        <f t="shared" si="81"/>
        <v>0</v>
      </c>
      <c r="I215" s="48">
        <f t="shared" si="81"/>
        <v>0</v>
      </c>
      <c r="J215" s="48">
        <f t="shared" si="81"/>
        <v>0</v>
      </c>
      <c r="K215" s="48">
        <f t="shared" si="81"/>
        <v>0</v>
      </c>
      <c r="L215" s="48">
        <f t="shared" si="81"/>
        <v>0</v>
      </c>
      <c r="M215" s="32"/>
    </row>
    <row r="216" spans="1:13" x14ac:dyDescent="0.25">
      <c r="A216" s="503"/>
      <c r="B216" s="504"/>
      <c r="C216" s="505"/>
      <c r="D216" s="102" t="s">
        <v>13</v>
      </c>
      <c r="E216" s="48">
        <f t="shared" si="60"/>
        <v>0</v>
      </c>
      <c r="F216" s="48">
        <f t="shared" ref="F216:L221" si="82">F10+F17+F31+F81+F24</f>
        <v>0</v>
      </c>
      <c r="G216" s="48">
        <f t="shared" si="82"/>
        <v>0</v>
      </c>
      <c r="H216" s="48">
        <f t="shared" si="82"/>
        <v>0</v>
      </c>
      <c r="I216" s="48">
        <f t="shared" si="82"/>
        <v>0</v>
      </c>
      <c r="J216" s="48">
        <f t="shared" si="82"/>
        <v>0</v>
      </c>
      <c r="K216" s="48">
        <f t="shared" si="82"/>
        <v>0</v>
      </c>
      <c r="L216" s="48">
        <f t="shared" si="82"/>
        <v>0</v>
      </c>
    </row>
    <row r="217" spans="1:13" x14ac:dyDescent="0.25">
      <c r="A217" s="503"/>
      <c r="B217" s="504"/>
      <c r="C217" s="505"/>
      <c r="D217" s="102" t="s">
        <v>14</v>
      </c>
      <c r="E217" s="48">
        <f t="shared" si="60"/>
        <v>0</v>
      </c>
      <c r="F217" s="48">
        <f t="shared" si="82"/>
        <v>0</v>
      </c>
      <c r="G217" s="48">
        <f t="shared" si="82"/>
        <v>0</v>
      </c>
      <c r="H217" s="48">
        <f t="shared" si="82"/>
        <v>0</v>
      </c>
      <c r="I217" s="48">
        <f t="shared" si="82"/>
        <v>0</v>
      </c>
      <c r="J217" s="48">
        <f t="shared" si="82"/>
        <v>0</v>
      </c>
      <c r="K217" s="48">
        <f t="shared" si="82"/>
        <v>0</v>
      </c>
      <c r="L217" s="48">
        <f t="shared" si="82"/>
        <v>0</v>
      </c>
    </row>
    <row r="218" spans="1:13" x14ac:dyDescent="0.25">
      <c r="A218" s="503"/>
      <c r="B218" s="504"/>
      <c r="C218" s="505"/>
      <c r="D218" s="102" t="s">
        <v>15</v>
      </c>
      <c r="E218" s="49">
        <f t="shared" si="60"/>
        <v>0</v>
      </c>
      <c r="F218" s="48">
        <f t="shared" si="82"/>
        <v>0</v>
      </c>
      <c r="G218" s="48">
        <f t="shared" si="82"/>
        <v>0</v>
      </c>
      <c r="H218" s="48">
        <f t="shared" si="82"/>
        <v>0</v>
      </c>
      <c r="I218" s="48">
        <f t="shared" si="82"/>
        <v>0</v>
      </c>
      <c r="J218" s="48">
        <f t="shared" si="82"/>
        <v>0</v>
      </c>
      <c r="K218" s="48">
        <f t="shared" si="82"/>
        <v>0</v>
      </c>
      <c r="L218" s="48">
        <f t="shared" si="82"/>
        <v>0</v>
      </c>
    </row>
    <row r="219" spans="1:13" ht="30" x14ac:dyDescent="0.25">
      <c r="A219" s="503"/>
      <c r="B219" s="504"/>
      <c r="C219" s="505"/>
      <c r="D219" s="100" t="s">
        <v>94</v>
      </c>
      <c r="E219" s="49">
        <f t="shared" si="60"/>
        <v>0</v>
      </c>
      <c r="F219" s="48">
        <f t="shared" si="82"/>
        <v>0</v>
      </c>
      <c r="G219" s="48">
        <f t="shared" si="82"/>
        <v>0</v>
      </c>
      <c r="H219" s="48">
        <f t="shared" si="82"/>
        <v>0</v>
      </c>
      <c r="I219" s="48">
        <f t="shared" si="82"/>
        <v>0</v>
      </c>
      <c r="J219" s="48">
        <f t="shared" si="82"/>
        <v>0</v>
      </c>
      <c r="K219" s="48">
        <f t="shared" si="82"/>
        <v>0</v>
      </c>
      <c r="L219" s="48">
        <f t="shared" si="82"/>
        <v>0</v>
      </c>
    </row>
    <row r="220" spans="1:13" x14ac:dyDescent="0.25">
      <c r="A220" s="503"/>
      <c r="B220" s="504"/>
      <c r="C220" s="505"/>
      <c r="D220" s="100" t="s">
        <v>93</v>
      </c>
      <c r="E220" s="49">
        <f t="shared" si="60"/>
        <v>0</v>
      </c>
      <c r="F220" s="48">
        <f t="shared" si="82"/>
        <v>0</v>
      </c>
      <c r="G220" s="48">
        <f t="shared" si="82"/>
        <v>0</v>
      </c>
      <c r="H220" s="48">
        <f t="shared" si="82"/>
        <v>0</v>
      </c>
      <c r="I220" s="48">
        <f t="shared" si="82"/>
        <v>0</v>
      </c>
      <c r="J220" s="48">
        <f t="shared" si="82"/>
        <v>0</v>
      </c>
      <c r="K220" s="48">
        <f t="shared" si="82"/>
        <v>0</v>
      </c>
      <c r="L220" s="48">
        <f t="shared" si="82"/>
        <v>0</v>
      </c>
    </row>
    <row r="221" spans="1:13" x14ac:dyDescent="0.25">
      <c r="A221" s="506"/>
      <c r="B221" s="507"/>
      <c r="C221" s="508"/>
      <c r="D221" s="102" t="s">
        <v>18</v>
      </c>
      <c r="E221" s="49">
        <f t="shared" si="60"/>
        <v>0</v>
      </c>
      <c r="F221" s="48">
        <f t="shared" si="82"/>
        <v>0</v>
      </c>
      <c r="G221" s="48">
        <f t="shared" si="82"/>
        <v>0</v>
      </c>
      <c r="H221" s="48">
        <f t="shared" si="82"/>
        <v>0</v>
      </c>
      <c r="I221" s="48">
        <f t="shared" si="82"/>
        <v>0</v>
      </c>
      <c r="J221" s="48">
        <f t="shared" si="82"/>
        <v>0</v>
      </c>
      <c r="K221" s="48">
        <f t="shared" si="82"/>
        <v>0</v>
      </c>
      <c r="L221" s="48">
        <f t="shared" si="82"/>
        <v>0</v>
      </c>
    </row>
    <row r="222" spans="1:13" s="40" customFormat="1" x14ac:dyDescent="0.25">
      <c r="A222" s="500" t="s">
        <v>99</v>
      </c>
      <c r="B222" s="501"/>
      <c r="C222" s="502"/>
      <c r="D222" s="102" t="s">
        <v>12</v>
      </c>
      <c r="E222" s="48">
        <f t="shared" si="60"/>
        <v>7165491.7007850669</v>
      </c>
      <c r="F222" s="91">
        <f t="shared" ref="F222:L222" si="83">SUM(F223:F228)</f>
        <v>677622.10574000014</v>
      </c>
      <c r="G222" s="48">
        <f t="shared" si="83"/>
        <v>696859.24146000005</v>
      </c>
      <c r="H222" s="48">
        <f t="shared" si="83"/>
        <v>682112.50141999999</v>
      </c>
      <c r="I222" s="48">
        <f t="shared" si="83"/>
        <v>980330.17703999998</v>
      </c>
      <c r="J222" s="48">
        <f t="shared" si="83"/>
        <v>654347.10985431005</v>
      </c>
      <c r="K222" s="48">
        <f t="shared" si="83"/>
        <v>486195.33299408236</v>
      </c>
      <c r="L222" s="48">
        <f t="shared" si="83"/>
        <v>2988025.2322766744</v>
      </c>
      <c r="M222" s="32"/>
    </row>
    <row r="223" spans="1:13" x14ac:dyDescent="0.25">
      <c r="A223" s="503"/>
      <c r="B223" s="504"/>
      <c r="C223" s="505"/>
      <c r="D223" s="102" t="s">
        <v>13</v>
      </c>
      <c r="E223" s="48">
        <f t="shared" si="60"/>
        <v>8432.3000000000011</v>
      </c>
      <c r="F223" s="91">
        <f>F208-F216</f>
        <v>13.6</v>
      </c>
      <c r="G223" s="48">
        <f t="shared" ref="G223:L223" si="84">G208-G216</f>
        <v>0</v>
      </c>
      <c r="H223" s="48">
        <f t="shared" si="84"/>
        <v>50.9</v>
      </c>
      <c r="I223" s="48">
        <f t="shared" si="84"/>
        <v>5082.6000000000004</v>
      </c>
      <c r="J223" s="48">
        <f t="shared" si="84"/>
        <v>3202.6</v>
      </c>
      <c r="K223" s="48">
        <f t="shared" si="84"/>
        <v>82.6</v>
      </c>
      <c r="L223" s="48">
        <f t="shared" si="84"/>
        <v>0</v>
      </c>
    </row>
    <row r="224" spans="1:13" x14ac:dyDescent="0.25">
      <c r="A224" s="503"/>
      <c r="B224" s="504"/>
      <c r="C224" s="505"/>
      <c r="D224" s="102" t="s">
        <v>14</v>
      </c>
      <c r="E224" s="48">
        <f t="shared" si="60"/>
        <v>20147.844560000001</v>
      </c>
      <c r="F224" s="91">
        <f t="shared" ref="F224:L228" si="85">F209-F217</f>
        <v>6558.7772700000005</v>
      </c>
      <c r="G224" s="48">
        <f t="shared" si="85"/>
        <v>4891.5</v>
      </c>
      <c r="H224" s="48">
        <f t="shared" si="85"/>
        <v>872.66728999999998</v>
      </c>
      <c r="I224" s="48">
        <f t="shared" si="85"/>
        <v>903.59999999999991</v>
      </c>
      <c r="J224" s="48">
        <f t="shared" si="85"/>
        <v>5535.1</v>
      </c>
      <c r="K224" s="48">
        <f t="shared" si="85"/>
        <v>1386.2</v>
      </c>
      <c r="L224" s="48">
        <f t="shared" si="85"/>
        <v>0</v>
      </c>
    </row>
    <row r="225" spans="1:12" x14ac:dyDescent="0.25">
      <c r="A225" s="503"/>
      <c r="B225" s="504"/>
      <c r="C225" s="505"/>
      <c r="D225" s="102" t="s">
        <v>15</v>
      </c>
      <c r="E225" s="48">
        <f t="shared" si="60"/>
        <v>4701091.9994099997</v>
      </c>
      <c r="F225" s="91">
        <f t="shared" si="85"/>
        <v>671049.72847000009</v>
      </c>
      <c r="G225" s="48">
        <f t="shared" si="85"/>
        <v>691967.74146000005</v>
      </c>
      <c r="H225" s="48">
        <f t="shared" si="85"/>
        <v>681188.93412999995</v>
      </c>
      <c r="I225" s="48">
        <f t="shared" si="85"/>
        <v>424188.66347000003</v>
      </c>
      <c r="J225" s="48">
        <f t="shared" si="85"/>
        <v>294616.26835999999</v>
      </c>
      <c r="K225" s="48">
        <f t="shared" si="85"/>
        <v>276911.52335999999</v>
      </c>
      <c r="L225" s="48">
        <f t="shared" si="85"/>
        <v>1661169.14016</v>
      </c>
    </row>
    <row r="226" spans="1:12" ht="30" x14ac:dyDescent="0.25">
      <c r="A226" s="503"/>
      <c r="B226" s="504"/>
      <c r="C226" s="505"/>
      <c r="D226" s="100" t="s">
        <v>94</v>
      </c>
      <c r="E226" s="48">
        <f t="shared" si="60"/>
        <v>0</v>
      </c>
      <c r="F226" s="48">
        <f t="shared" si="85"/>
        <v>0</v>
      </c>
      <c r="G226" s="48">
        <f t="shared" si="85"/>
        <v>0</v>
      </c>
      <c r="H226" s="48">
        <f t="shared" si="85"/>
        <v>0</v>
      </c>
      <c r="I226" s="48">
        <f t="shared" si="85"/>
        <v>0</v>
      </c>
      <c r="J226" s="48">
        <f t="shared" si="85"/>
        <v>0</v>
      </c>
      <c r="K226" s="48">
        <f t="shared" si="85"/>
        <v>0</v>
      </c>
      <c r="L226" s="48">
        <f t="shared" si="85"/>
        <v>0</v>
      </c>
    </row>
    <row r="227" spans="1:12" x14ac:dyDescent="0.25">
      <c r="A227" s="503"/>
      <c r="B227" s="504"/>
      <c r="C227" s="505"/>
      <c r="D227" s="100" t="s">
        <v>93</v>
      </c>
      <c r="E227" s="48">
        <f t="shared" si="60"/>
        <v>0</v>
      </c>
      <c r="F227" s="48">
        <f t="shared" si="85"/>
        <v>0</v>
      </c>
      <c r="G227" s="48">
        <f t="shared" si="85"/>
        <v>0</v>
      </c>
      <c r="H227" s="48">
        <f t="shared" si="85"/>
        <v>0</v>
      </c>
      <c r="I227" s="48">
        <f t="shared" si="85"/>
        <v>0</v>
      </c>
      <c r="J227" s="48">
        <f t="shared" si="85"/>
        <v>0</v>
      </c>
      <c r="K227" s="48">
        <f t="shared" si="85"/>
        <v>0</v>
      </c>
      <c r="L227" s="48">
        <f t="shared" si="85"/>
        <v>0</v>
      </c>
    </row>
    <row r="228" spans="1:12" x14ac:dyDescent="0.25">
      <c r="A228" s="506"/>
      <c r="B228" s="507"/>
      <c r="C228" s="508"/>
      <c r="D228" s="102" t="s">
        <v>18</v>
      </c>
      <c r="E228" s="48">
        <f t="shared" si="60"/>
        <v>2435819.5568150664</v>
      </c>
      <c r="F228" s="48">
        <f t="shared" si="85"/>
        <v>0</v>
      </c>
      <c r="G228" s="48">
        <f t="shared" si="85"/>
        <v>0</v>
      </c>
      <c r="H228" s="48">
        <f t="shared" si="85"/>
        <v>0</v>
      </c>
      <c r="I228" s="48">
        <f t="shared" si="85"/>
        <v>550155.31357</v>
      </c>
      <c r="J228" s="48">
        <f t="shared" si="85"/>
        <v>350993.14149431</v>
      </c>
      <c r="K228" s="48">
        <f t="shared" si="85"/>
        <v>207815.00963408238</v>
      </c>
      <c r="L228" s="48">
        <f t="shared" si="85"/>
        <v>1326856.0921166742</v>
      </c>
    </row>
    <row r="229" spans="1:12" x14ac:dyDescent="0.25">
      <c r="A229" s="509" t="s">
        <v>97</v>
      </c>
      <c r="B229" s="510"/>
      <c r="C229" s="511"/>
      <c r="D229" s="102" t="s">
        <v>54</v>
      </c>
      <c r="E229" s="50" t="s">
        <v>54</v>
      </c>
      <c r="F229" s="48"/>
      <c r="G229" s="48"/>
      <c r="H229" s="48"/>
      <c r="I229" s="48" t="s">
        <v>54</v>
      </c>
      <c r="J229" s="48" t="s">
        <v>54</v>
      </c>
      <c r="K229" s="48"/>
      <c r="L229" s="48" t="s">
        <v>54</v>
      </c>
    </row>
    <row r="230" spans="1:12" s="40" customFormat="1" x14ac:dyDescent="0.25">
      <c r="A230" s="500" t="s">
        <v>100</v>
      </c>
      <c r="B230" s="501"/>
      <c r="C230" s="502"/>
      <c r="D230" s="102" t="s">
        <v>12</v>
      </c>
      <c r="E230" s="48">
        <f t="shared" si="60"/>
        <v>1430108.9254600001</v>
      </c>
      <c r="F230" s="91">
        <f t="shared" ref="F230:L230" si="86">SUM(F231:F236)</f>
        <v>265344.92694999999</v>
      </c>
      <c r="G230" s="48">
        <f t="shared" si="86"/>
        <v>264161.92694999999</v>
      </c>
      <c r="H230" s="48">
        <f t="shared" si="86"/>
        <v>264161.92694999999</v>
      </c>
      <c r="I230" s="48">
        <f t="shared" si="86"/>
        <v>482915.05460999999</v>
      </c>
      <c r="J230" s="48">
        <f t="shared" si="86"/>
        <v>153525.09</v>
      </c>
      <c r="K230" s="48">
        <f t="shared" si="86"/>
        <v>0</v>
      </c>
      <c r="L230" s="48">
        <f t="shared" si="86"/>
        <v>0</v>
      </c>
    </row>
    <row r="231" spans="1:12" x14ac:dyDescent="0.25">
      <c r="A231" s="503"/>
      <c r="B231" s="504"/>
      <c r="C231" s="505"/>
      <c r="D231" s="102" t="s">
        <v>13</v>
      </c>
      <c r="E231" s="48">
        <f t="shared" si="60"/>
        <v>0</v>
      </c>
      <c r="F231" s="48">
        <f t="shared" ref="F231:L236" si="87">F52</f>
        <v>0</v>
      </c>
      <c r="G231" s="48">
        <f t="shared" si="87"/>
        <v>0</v>
      </c>
      <c r="H231" s="48">
        <f t="shared" si="87"/>
        <v>0</v>
      </c>
      <c r="I231" s="48">
        <f t="shared" si="87"/>
        <v>0</v>
      </c>
      <c r="J231" s="48">
        <f t="shared" si="87"/>
        <v>0</v>
      </c>
      <c r="K231" s="48">
        <f t="shared" si="87"/>
        <v>0</v>
      </c>
      <c r="L231" s="48">
        <f t="shared" si="87"/>
        <v>0</v>
      </c>
    </row>
    <row r="232" spans="1:12" x14ac:dyDescent="0.25">
      <c r="A232" s="503"/>
      <c r="B232" s="504"/>
      <c r="C232" s="505"/>
      <c r="D232" s="102" t="s">
        <v>14</v>
      </c>
      <c r="E232" s="48">
        <f t="shared" si="60"/>
        <v>0</v>
      </c>
      <c r="F232" s="48">
        <f t="shared" si="87"/>
        <v>0</v>
      </c>
      <c r="G232" s="48">
        <f t="shared" si="87"/>
        <v>0</v>
      </c>
      <c r="H232" s="48">
        <f t="shared" si="87"/>
        <v>0</v>
      </c>
      <c r="I232" s="48">
        <f t="shared" si="87"/>
        <v>0</v>
      </c>
      <c r="J232" s="48">
        <f t="shared" si="87"/>
        <v>0</v>
      </c>
      <c r="K232" s="48">
        <f t="shared" si="87"/>
        <v>0</v>
      </c>
      <c r="L232" s="48">
        <f t="shared" si="87"/>
        <v>0</v>
      </c>
    </row>
    <row r="233" spans="1:12" x14ac:dyDescent="0.25">
      <c r="A233" s="503"/>
      <c r="B233" s="504"/>
      <c r="C233" s="505"/>
      <c r="D233" s="102" t="s">
        <v>15</v>
      </c>
      <c r="E233" s="49">
        <f t="shared" si="60"/>
        <v>814471.90850999998</v>
      </c>
      <c r="F233" s="91">
        <f t="shared" si="87"/>
        <v>265344.92694999999</v>
      </c>
      <c r="G233" s="48">
        <f t="shared" si="87"/>
        <v>264161.92694999999</v>
      </c>
      <c r="H233" s="48">
        <f t="shared" si="87"/>
        <v>264161.92694999999</v>
      </c>
      <c r="I233" s="48">
        <f t="shared" si="87"/>
        <v>20803.127659999998</v>
      </c>
      <c r="J233" s="48">
        <f t="shared" si="87"/>
        <v>0</v>
      </c>
      <c r="K233" s="48">
        <f t="shared" si="87"/>
        <v>0</v>
      </c>
      <c r="L233" s="48">
        <f t="shared" si="87"/>
        <v>0</v>
      </c>
    </row>
    <row r="234" spans="1:12" ht="30" x14ac:dyDescent="0.25">
      <c r="A234" s="503"/>
      <c r="B234" s="504"/>
      <c r="C234" s="505"/>
      <c r="D234" s="100" t="s">
        <v>94</v>
      </c>
      <c r="E234" s="49">
        <f t="shared" si="60"/>
        <v>0</v>
      </c>
      <c r="F234" s="48">
        <f t="shared" si="87"/>
        <v>0</v>
      </c>
      <c r="G234" s="48">
        <f t="shared" si="87"/>
        <v>0</v>
      </c>
      <c r="H234" s="48">
        <f t="shared" si="87"/>
        <v>0</v>
      </c>
      <c r="I234" s="48">
        <f t="shared" si="87"/>
        <v>0</v>
      </c>
      <c r="J234" s="48">
        <f t="shared" si="87"/>
        <v>0</v>
      </c>
      <c r="K234" s="48">
        <f t="shared" si="87"/>
        <v>0</v>
      </c>
      <c r="L234" s="48">
        <f t="shared" si="87"/>
        <v>0</v>
      </c>
    </row>
    <row r="235" spans="1:12" x14ac:dyDescent="0.25">
      <c r="A235" s="503"/>
      <c r="B235" s="504"/>
      <c r="C235" s="505"/>
      <c r="D235" s="100" t="s">
        <v>93</v>
      </c>
      <c r="E235" s="49">
        <f t="shared" si="60"/>
        <v>0</v>
      </c>
      <c r="F235" s="48">
        <f t="shared" si="87"/>
        <v>0</v>
      </c>
      <c r="G235" s="48">
        <f t="shared" si="87"/>
        <v>0</v>
      </c>
      <c r="H235" s="48">
        <f t="shared" si="87"/>
        <v>0</v>
      </c>
      <c r="I235" s="48">
        <f t="shared" si="87"/>
        <v>0</v>
      </c>
      <c r="J235" s="48">
        <f t="shared" si="87"/>
        <v>0</v>
      </c>
      <c r="K235" s="48">
        <f t="shared" si="87"/>
        <v>0</v>
      </c>
      <c r="L235" s="48">
        <f t="shared" si="87"/>
        <v>0</v>
      </c>
    </row>
    <row r="236" spans="1:12" x14ac:dyDescent="0.25">
      <c r="A236" s="506"/>
      <c r="B236" s="507"/>
      <c r="C236" s="508"/>
      <c r="D236" s="102" t="s">
        <v>18</v>
      </c>
      <c r="E236" s="49">
        <f t="shared" si="60"/>
        <v>615637.01694999996</v>
      </c>
      <c r="F236" s="48">
        <f t="shared" si="87"/>
        <v>0</v>
      </c>
      <c r="G236" s="48">
        <f t="shared" si="87"/>
        <v>0</v>
      </c>
      <c r="H236" s="48">
        <f t="shared" si="87"/>
        <v>0</v>
      </c>
      <c r="I236" s="48">
        <f t="shared" si="87"/>
        <v>462111.92694999999</v>
      </c>
      <c r="J236" s="48">
        <f t="shared" si="87"/>
        <v>153525.09</v>
      </c>
      <c r="K236" s="48">
        <f t="shared" si="87"/>
        <v>0</v>
      </c>
      <c r="L236" s="48">
        <f t="shared" si="87"/>
        <v>0</v>
      </c>
    </row>
    <row r="237" spans="1:12" s="40" customFormat="1" x14ac:dyDescent="0.25">
      <c r="A237" s="500" t="s">
        <v>101</v>
      </c>
      <c r="B237" s="501"/>
      <c r="C237" s="502"/>
      <c r="D237" s="102" t="s">
        <v>12</v>
      </c>
      <c r="E237" s="48">
        <f t="shared" si="60"/>
        <v>5735382.7753250673</v>
      </c>
      <c r="F237" s="91">
        <f t="shared" ref="F237:L237" si="88">SUM(F238:F243)</f>
        <v>412277.17879000009</v>
      </c>
      <c r="G237" s="48">
        <f t="shared" si="88"/>
        <v>432697.31451000005</v>
      </c>
      <c r="H237" s="48">
        <f t="shared" si="88"/>
        <v>417950.57446999993</v>
      </c>
      <c r="I237" s="48">
        <f t="shared" si="88"/>
        <v>497415.12243000005</v>
      </c>
      <c r="J237" s="48">
        <f t="shared" si="88"/>
        <v>500822.01985430997</v>
      </c>
      <c r="K237" s="48">
        <f t="shared" si="88"/>
        <v>486195.33299408236</v>
      </c>
      <c r="L237" s="48">
        <f t="shared" si="88"/>
        <v>2988025.2322766744</v>
      </c>
    </row>
    <row r="238" spans="1:12" x14ac:dyDescent="0.25">
      <c r="A238" s="503"/>
      <c r="B238" s="504"/>
      <c r="C238" s="505"/>
      <c r="D238" s="102" t="s">
        <v>13</v>
      </c>
      <c r="E238" s="48">
        <f t="shared" si="60"/>
        <v>8432.3000000000011</v>
      </c>
      <c r="F238" s="91">
        <f>F208-F231</f>
        <v>13.6</v>
      </c>
      <c r="G238" s="48">
        <f t="shared" ref="G238:L238" si="89">G208-G231</f>
        <v>0</v>
      </c>
      <c r="H238" s="48">
        <f t="shared" si="89"/>
        <v>50.9</v>
      </c>
      <c r="I238" s="48">
        <f t="shared" si="89"/>
        <v>5082.6000000000004</v>
      </c>
      <c r="J238" s="48">
        <f t="shared" si="89"/>
        <v>3202.6</v>
      </c>
      <c r="K238" s="48">
        <f t="shared" si="89"/>
        <v>82.6</v>
      </c>
      <c r="L238" s="48">
        <f t="shared" si="89"/>
        <v>0</v>
      </c>
    </row>
    <row r="239" spans="1:12" x14ac:dyDescent="0.25">
      <c r="A239" s="503"/>
      <c r="B239" s="504"/>
      <c r="C239" s="505"/>
      <c r="D239" s="102" t="s">
        <v>14</v>
      </c>
      <c r="E239" s="48">
        <f t="shared" si="60"/>
        <v>20147.844560000001</v>
      </c>
      <c r="F239" s="91">
        <f t="shared" ref="F239:L243" si="90">F209-F232</f>
        <v>6558.7772700000005</v>
      </c>
      <c r="G239" s="48">
        <f t="shared" si="90"/>
        <v>4891.5</v>
      </c>
      <c r="H239" s="48">
        <f t="shared" si="90"/>
        <v>872.66728999999998</v>
      </c>
      <c r="I239" s="48">
        <f t="shared" si="90"/>
        <v>903.59999999999991</v>
      </c>
      <c r="J239" s="48">
        <f t="shared" si="90"/>
        <v>5535.1</v>
      </c>
      <c r="K239" s="48">
        <f t="shared" si="90"/>
        <v>1386.2</v>
      </c>
      <c r="L239" s="48">
        <f t="shared" si="90"/>
        <v>0</v>
      </c>
    </row>
    <row r="240" spans="1:12" x14ac:dyDescent="0.25">
      <c r="A240" s="503"/>
      <c r="B240" s="504"/>
      <c r="C240" s="505"/>
      <c r="D240" s="102" t="s">
        <v>15</v>
      </c>
      <c r="E240" s="48">
        <f t="shared" si="60"/>
        <v>3886620.0909000002</v>
      </c>
      <c r="F240" s="91">
        <f t="shared" si="90"/>
        <v>405704.8015200001</v>
      </c>
      <c r="G240" s="48">
        <f t="shared" si="90"/>
        <v>427805.81451000005</v>
      </c>
      <c r="H240" s="48">
        <f t="shared" si="90"/>
        <v>417027.00717999996</v>
      </c>
      <c r="I240" s="48">
        <f t="shared" si="90"/>
        <v>403385.53581000003</v>
      </c>
      <c r="J240" s="48">
        <f t="shared" si="90"/>
        <v>294616.26835999999</v>
      </c>
      <c r="K240" s="48">
        <f t="shared" si="90"/>
        <v>276911.52335999999</v>
      </c>
      <c r="L240" s="48">
        <f t="shared" si="90"/>
        <v>1661169.14016</v>
      </c>
    </row>
    <row r="241" spans="1:12" ht="30" x14ac:dyDescent="0.25">
      <c r="A241" s="503"/>
      <c r="B241" s="504"/>
      <c r="C241" s="505"/>
      <c r="D241" s="100" t="s">
        <v>94</v>
      </c>
      <c r="E241" s="48">
        <f t="shared" si="60"/>
        <v>0</v>
      </c>
      <c r="F241" s="48">
        <f t="shared" si="90"/>
        <v>0</v>
      </c>
      <c r="G241" s="48">
        <f t="shared" si="90"/>
        <v>0</v>
      </c>
      <c r="H241" s="48">
        <f t="shared" si="90"/>
        <v>0</v>
      </c>
      <c r="I241" s="48">
        <f t="shared" si="90"/>
        <v>0</v>
      </c>
      <c r="J241" s="48">
        <f t="shared" si="90"/>
        <v>0</v>
      </c>
      <c r="K241" s="48">
        <f t="shared" si="90"/>
        <v>0</v>
      </c>
      <c r="L241" s="48">
        <f t="shared" si="90"/>
        <v>0</v>
      </c>
    </row>
    <row r="242" spans="1:12" x14ac:dyDescent="0.25">
      <c r="A242" s="503"/>
      <c r="B242" s="504"/>
      <c r="C242" s="505"/>
      <c r="D242" s="100" t="s">
        <v>93</v>
      </c>
      <c r="E242" s="48">
        <f t="shared" si="60"/>
        <v>0</v>
      </c>
      <c r="F242" s="48">
        <f t="shared" si="90"/>
        <v>0</v>
      </c>
      <c r="G242" s="48">
        <f t="shared" si="90"/>
        <v>0</v>
      </c>
      <c r="H242" s="48">
        <f t="shared" si="90"/>
        <v>0</v>
      </c>
      <c r="I242" s="48">
        <f t="shared" si="90"/>
        <v>0</v>
      </c>
      <c r="J242" s="48">
        <f t="shared" si="90"/>
        <v>0</v>
      </c>
      <c r="K242" s="48">
        <f t="shared" si="90"/>
        <v>0</v>
      </c>
      <c r="L242" s="48">
        <f t="shared" si="90"/>
        <v>0</v>
      </c>
    </row>
    <row r="243" spans="1:12" x14ac:dyDescent="0.25">
      <c r="A243" s="506"/>
      <c r="B243" s="507"/>
      <c r="C243" s="508"/>
      <c r="D243" s="102" t="s">
        <v>18</v>
      </c>
      <c r="E243" s="48">
        <f t="shared" si="60"/>
        <v>1820182.5398650665</v>
      </c>
      <c r="F243" s="48">
        <f t="shared" si="90"/>
        <v>0</v>
      </c>
      <c r="G243" s="48">
        <f t="shared" si="90"/>
        <v>0</v>
      </c>
      <c r="H243" s="48">
        <f t="shared" si="90"/>
        <v>0</v>
      </c>
      <c r="I243" s="48">
        <f t="shared" si="90"/>
        <v>88043.386620000005</v>
      </c>
      <c r="J243" s="48">
        <f t="shared" si="90"/>
        <v>197468.05149431</v>
      </c>
      <c r="K243" s="48">
        <f t="shared" si="90"/>
        <v>207815.00963408238</v>
      </c>
      <c r="L243" s="48">
        <f t="shared" si="90"/>
        <v>1326856.0921166742</v>
      </c>
    </row>
    <row r="244" spans="1:12" x14ac:dyDescent="0.25">
      <c r="A244" s="512" t="s">
        <v>79</v>
      </c>
      <c r="B244" s="513"/>
      <c r="C244" s="514"/>
      <c r="D244" s="102"/>
      <c r="E244" s="51"/>
      <c r="F244" s="51"/>
      <c r="G244" s="51"/>
      <c r="H244" s="51"/>
      <c r="I244" s="51"/>
      <c r="J244" s="51"/>
      <c r="K244" s="51"/>
      <c r="L244" s="51"/>
    </row>
    <row r="245" spans="1:12" x14ac:dyDescent="0.25">
      <c r="A245" s="500" t="s">
        <v>148</v>
      </c>
      <c r="B245" s="501"/>
      <c r="C245" s="502"/>
      <c r="D245" s="102" t="s">
        <v>12</v>
      </c>
      <c r="E245" s="48">
        <f t="shared" si="60"/>
        <v>4626825.5541728335</v>
      </c>
      <c r="F245" s="91">
        <f t="shared" ref="F245:L245" si="91">SUM(F246:F251)</f>
        <v>305236.04231000011</v>
      </c>
      <c r="G245" s="48">
        <f t="shared" si="91"/>
        <v>324206.88092000014</v>
      </c>
      <c r="H245" s="48">
        <f t="shared" si="91"/>
        <v>314385.45942999987</v>
      </c>
      <c r="I245" s="48">
        <f t="shared" si="91"/>
        <v>394958.95846000005</v>
      </c>
      <c r="J245" s="48">
        <f t="shared" si="91"/>
        <v>416194.60146250995</v>
      </c>
      <c r="K245" s="48">
        <f t="shared" si="91"/>
        <v>400813.75864021038</v>
      </c>
      <c r="L245" s="48">
        <f t="shared" si="91"/>
        <v>2471029.8529501129</v>
      </c>
    </row>
    <row r="246" spans="1:12" x14ac:dyDescent="0.25">
      <c r="A246" s="503"/>
      <c r="B246" s="504"/>
      <c r="C246" s="505"/>
      <c r="D246" s="102" t="s">
        <v>13</v>
      </c>
      <c r="E246" s="48">
        <f t="shared" si="60"/>
        <v>8432.3000000000011</v>
      </c>
      <c r="F246" s="83">
        <f>F208-F253-F260-F267-F274</f>
        <v>13.6</v>
      </c>
      <c r="G246" s="84">
        <f t="shared" ref="G246:L246" si="92">G208-G253-G260-G267-G274</f>
        <v>0</v>
      </c>
      <c r="H246" s="84">
        <f t="shared" si="92"/>
        <v>50.9</v>
      </c>
      <c r="I246" s="84">
        <f t="shared" si="92"/>
        <v>5082.6000000000004</v>
      </c>
      <c r="J246" s="84">
        <f t="shared" si="92"/>
        <v>3202.6</v>
      </c>
      <c r="K246" s="84">
        <f t="shared" si="92"/>
        <v>82.6</v>
      </c>
      <c r="L246" s="84">
        <f t="shared" si="92"/>
        <v>0</v>
      </c>
    </row>
    <row r="247" spans="1:12" x14ac:dyDescent="0.25">
      <c r="A247" s="503"/>
      <c r="B247" s="504"/>
      <c r="C247" s="505"/>
      <c r="D247" s="102" t="s">
        <v>14</v>
      </c>
      <c r="E247" s="48">
        <f t="shared" si="60"/>
        <v>20147.844560000001</v>
      </c>
      <c r="F247" s="83">
        <f t="shared" ref="F247:L251" si="93">F209-F254-F261-F268-F275</f>
        <v>6558.7772700000005</v>
      </c>
      <c r="G247" s="84">
        <f t="shared" si="93"/>
        <v>4891.5</v>
      </c>
      <c r="H247" s="84">
        <f t="shared" si="93"/>
        <v>872.66728999999998</v>
      </c>
      <c r="I247" s="84">
        <f t="shared" si="93"/>
        <v>903.59999999999991</v>
      </c>
      <c r="J247" s="84">
        <f t="shared" si="93"/>
        <v>5535.1</v>
      </c>
      <c r="K247" s="84">
        <f t="shared" si="93"/>
        <v>1386.2</v>
      </c>
      <c r="L247" s="84">
        <f t="shared" si="93"/>
        <v>0</v>
      </c>
    </row>
    <row r="248" spans="1:12" x14ac:dyDescent="0.25">
      <c r="A248" s="503"/>
      <c r="B248" s="504"/>
      <c r="C248" s="505"/>
      <c r="D248" s="102" t="s">
        <v>15</v>
      </c>
      <c r="E248" s="52">
        <f t="shared" si="60"/>
        <v>2937055.56482</v>
      </c>
      <c r="F248" s="83">
        <f t="shared" si="93"/>
        <v>298663.66504000011</v>
      </c>
      <c r="G248" s="84">
        <f t="shared" si="93"/>
        <v>319315.38092000014</v>
      </c>
      <c r="H248" s="84">
        <f t="shared" si="93"/>
        <v>313461.89213999989</v>
      </c>
      <c r="I248" s="84">
        <f t="shared" si="93"/>
        <v>304892.19056000002</v>
      </c>
      <c r="J248" s="84">
        <f t="shared" si="93"/>
        <v>223056.40801999997</v>
      </c>
      <c r="K248" s="84">
        <f t="shared" si="93"/>
        <v>211138.00401999999</v>
      </c>
      <c r="L248" s="84">
        <f t="shared" si="93"/>
        <v>1266528.02412</v>
      </c>
    </row>
    <row r="249" spans="1:12" ht="30" x14ac:dyDescent="0.25">
      <c r="A249" s="503"/>
      <c r="B249" s="504"/>
      <c r="C249" s="505"/>
      <c r="D249" s="100" t="s">
        <v>94</v>
      </c>
      <c r="E249" s="48">
        <f t="shared" si="60"/>
        <v>0</v>
      </c>
      <c r="F249" s="83">
        <f t="shared" si="93"/>
        <v>0</v>
      </c>
      <c r="G249" s="84">
        <f t="shared" si="93"/>
        <v>0</v>
      </c>
      <c r="H249" s="84">
        <f t="shared" si="93"/>
        <v>0</v>
      </c>
      <c r="I249" s="84">
        <f t="shared" si="93"/>
        <v>0</v>
      </c>
      <c r="J249" s="84">
        <f t="shared" si="93"/>
        <v>0</v>
      </c>
      <c r="K249" s="84">
        <f t="shared" si="93"/>
        <v>0</v>
      </c>
      <c r="L249" s="84">
        <f t="shared" si="93"/>
        <v>0</v>
      </c>
    </row>
    <row r="250" spans="1:12" x14ac:dyDescent="0.25">
      <c r="A250" s="503"/>
      <c r="B250" s="504"/>
      <c r="C250" s="505"/>
      <c r="D250" s="100" t="s">
        <v>93</v>
      </c>
      <c r="E250" s="48">
        <f t="shared" ref="E250:E265" si="94">SUM(F250:L250)</f>
        <v>0</v>
      </c>
      <c r="F250" s="83">
        <f t="shared" si="93"/>
        <v>0</v>
      </c>
      <c r="G250" s="84">
        <f t="shared" si="93"/>
        <v>0</v>
      </c>
      <c r="H250" s="84">
        <f t="shared" si="93"/>
        <v>0</v>
      </c>
      <c r="I250" s="84">
        <f t="shared" si="93"/>
        <v>0</v>
      </c>
      <c r="J250" s="84">
        <f t="shared" si="93"/>
        <v>0</v>
      </c>
      <c r="K250" s="84">
        <f t="shared" si="93"/>
        <v>0</v>
      </c>
      <c r="L250" s="84">
        <f t="shared" si="93"/>
        <v>0</v>
      </c>
    </row>
    <row r="251" spans="1:12" x14ac:dyDescent="0.25">
      <c r="A251" s="506"/>
      <c r="B251" s="507"/>
      <c r="C251" s="508"/>
      <c r="D251" s="102" t="s">
        <v>18</v>
      </c>
      <c r="E251" s="48">
        <f t="shared" si="94"/>
        <v>1661189.8447928333</v>
      </c>
      <c r="F251" s="83">
        <f t="shared" si="93"/>
        <v>0</v>
      </c>
      <c r="G251" s="84">
        <f t="shared" si="93"/>
        <v>0</v>
      </c>
      <c r="H251" s="84">
        <f t="shared" si="93"/>
        <v>0</v>
      </c>
      <c r="I251" s="84">
        <f t="shared" si="93"/>
        <v>84080.567900000024</v>
      </c>
      <c r="J251" s="84">
        <f t="shared" si="93"/>
        <v>184400.49344250999</v>
      </c>
      <c r="K251" s="84">
        <f t="shared" si="93"/>
        <v>188206.9546202104</v>
      </c>
      <c r="L251" s="84">
        <f t="shared" si="93"/>
        <v>1204501.8288301129</v>
      </c>
    </row>
    <row r="252" spans="1:12" x14ac:dyDescent="0.25">
      <c r="A252" s="500" t="s">
        <v>188</v>
      </c>
      <c r="B252" s="501"/>
      <c r="C252" s="502"/>
      <c r="D252" s="102" t="s">
        <v>12</v>
      </c>
      <c r="E252" s="48">
        <f t="shared" si="94"/>
        <v>1076566.9775222333</v>
      </c>
      <c r="F252" s="85">
        <f t="shared" ref="F252:L252" si="95">SUM(F253:F258)</f>
        <v>105349.21219000001</v>
      </c>
      <c r="G252" s="85">
        <f t="shared" si="95"/>
        <v>105316.36663</v>
      </c>
      <c r="H252" s="85">
        <f t="shared" si="95"/>
        <v>101120.66266</v>
      </c>
      <c r="I252" s="85">
        <f t="shared" si="95"/>
        <v>99713.963969999997</v>
      </c>
      <c r="J252" s="85">
        <f t="shared" si="95"/>
        <v>81885.218391799994</v>
      </c>
      <c r="K252" s="85">
        <f t="shared" si="95"/>
        <v>82639.374353872001</v>
      </c>
      <c r="L252" s="85">
        <f t="shared" si="95"/>
        <v>500542.17932656128</v>
      </c>
    </row>
    <row r="253" spans="1:12" x14ac:dyDescent="0.25">
      <c r="A253" s="503"/>
      <c r="B253" s="504"/>
      <c r="C253" s="505"/>
      <c r="D253" s="102" t="s">
        <v>13</v>
      </c>
      <c r="E253" s="48">
        <f t="shared" si="94"/>
        <v>0</v>
      </c>
      <c r="F253" s="83">
        <v>0</v>
      </c>
      <c r="G253" s="83">
        <v>0</v>
      </c>
      <c r="H253" s="83">
        <f>H187+H151+H116</f>
        <v>0</v>
      </c>
      <c r="I253" s="83">
        <f t="shared" ref="I253:L253" si="96">I187+I151+I116</f>
        <v>0</v>
      </c>
      <c r="J253" s="83">
        <f t="shared" si="96"/>
        <v>0</v>
      </c>
      <c r="K253" s="83">
        <f t="shared" si="96"/>
        <v>0</v>
      </c>
      <c r="L253" s="83">
        <f t="shared" si="96"/>
        <v>0</v>
      </c>
    </row>
    <row r="254" spans="1:12" x14ac:dyDescent="0.25">
      <c r="A254" s="503"/>
      <c r="B254" s="504"/>
      <c r="C254" s="505"/>
      <c r="D254" s="102" t="s">
        <v>14</v>
      </c>
      <c r="E254" s="48">
        <f t="shared" si="94"/>
        <v>0</v>
      </c>
      <c r="F254" s="83">
        <v>0</v>
      </c>
      <c r="G254" s="83">
        <v>0</v>
      </c>
      <c r="H254" s="83">
        <f t="shared" ref="H254:L258" si="97">H188+H152+H117</f>
        <v>0</v>
      </c>
      <c r="I254" s="83">
        <f t="shared" si="97"/>
        <v>0</v>
      </c>
      <c r="J254" s="83">
        <f t="shared" si="97"/>
        <v>0</v>
      </c>
      <c r="K254" s="83">
        <f t="shared" si="97"/>
        <v>0</v>
      </c>
      <c r="L254" s="83">
        <f t="shared" si="97"/>
        <v>0</v>
      </c>
    </row>
    <row r="255" spans="1:12" x14ac:dyDescent="0.25">
      <c r="A255" s="503"/>
      <c r="B255" s="504"/>
      <c r="C255" s="505"/>
      <c r="D255" s="102" t="s">
        <v>15</v>
      </c>
      <c r="E255" s="52">
        <f t="shared" si="94"/>
        <v>917574.28245000006</v>
      </c>
      <c r="F255" s="86">
        <v>105349.21219000001</v>
      </c>
      <c r="G255" s="86">
        <v>105316.36663</v>
      </c>
      <c r="H255" s="83">
        <f>H189+H153+H111</f>
        <v>101120.66266</v>
      </c>
      <c r="I255" s="83">
        <f t="shared" ref="I255:L255" si="98">I189+I153+I111</f>
        <v>95751.145250000001</v>
      </c>
      <c r="J255" s="83">
        <f t="shared" si="98"/>
        <v>68817.660340000002</v>
      </c>
      <c r="K255" s="83">
        <f t="shared" si="98"/>
        <v>63031.319340000002</v>
      </c>
      <c r="L255" s="83">
        <f t="shared" si="98"/>
        <v>378187.91604000004</v>
      </c>
    </row>
    <row r="256" spans="1:12" ht="30" x14ac:dyDescent="0.25">
      <c r="A256" s="503"/>
      <c r="B256" s="504"/>
      <c r="C256" s="505"/>
      <c r="D256" s="100" t="s">
        <v>94</v>
      </c>
      <c r="E256" s="48">
        <f t="shared" si="94"/>
        <v>0</v>
      </c>
      <c r="F256" s="83">
        <v>0</v>
      </c>
      <c r="G256" s="83">
        <v>0</v>
      </c>
      <c r="H256" s="83">
        <f t="shared" si="97"/>
        <v>0</v>
      </c>
      <c r="I256" s="83">
        <f t="shared" si="97"/>
        <v>0</v>
      </c>
      <c r="J256" s="83">
        <f t="shared" si="97"/>
        <v>0</v>
      </c>
      <c r="K256" s="83">
        <f t="shared" si="97"/>
        <v>0</v>
      </c>
      <c r="L256" s="83">
        <f t="shared" si="97"/>
        <v>0</v>
      </c>
    </row>
    <row r="257" spans="1:12" x14ac:dyDescent="0.25">
      <c r="A257" s="503"/>
      <c r="B257" s="504"/>
      <c r="C257" s="505"/>
      <c r="D257" s="100" t="s">
        <v>93</v>
      </c>
      <c r="E257" s="48">
        <f t="shared" si="94"/>
        <v>0</v>
      </c>
      <c r="F257" s="83">
        <v>0</v>
      </c>
      <c r="G257" s="83">
        <v>0</v>
      </c>
      <c r="H257" s="83">
        <f t="shared" si="97"/>
        <v>0</v>
      </c>
      <c r="I257" s="83">
        <f t="shared" si="97"/>
        <v>0</v>
      </c>
      <c r="J257" s="83">
        <f t="shared" si="97"/>
        <v>0</v>
      </c>
      <c r="K257" s="83">
        <f t="shared" si="97"/>
        <v>0</v>
      </c>
      <c r="L257" s="83">
        <f t="shared" si="97"/>
        <v>0</v>
      </c>
    </row>
    <row r="258" spans="1:12" x14ac:dyDescent="0.25">
      <c r="A258" s="506"/>
      <c r="B258" s="507"/>
      <c r="C258" s="508"/>
      <c r="D258" s="102" t="s">
        <v>18</v>
      </c>
      <c r="E258" s="48">
        <f t="shared" si="94"/>
        <v>158992.69507223327</v>
      </c>
      <c r="F258" s="83">
        <v>0</v>
      </c>
      <c r="G258" s="83">
        <v>0</v>
      </c>
      <c r="H258" s="83">
        <f>H192+H156+H121</f>
        <v>0</v>
      </c>
      <c r="I258" s="83">
        <f t="shared" si="97"/>
        <v>3962.8187200000002</v>
      </c>
      <c r="J258" s="83">
        <f t="shared" si="97"/>
        <v>13067.558051799992</v>
      </c>
      <c r="K258" s="83">
        <f t="shared" si="97"/>
        <v>19608.055013871999</v>
      </c>
      <c r="L258" s="83">
        <f t="shared" si="97"/>
        <v>122354.26328656127</v>
      </c>
    </row>
    <row r="259" spans="1:12" x14ac:dyDescent="0.25">
      <c r="A259" s="500" t="s">
        <v>187</v>
      </c>
      <c r="B259" s="501"/>
      <c r="C259" s="502"/>
      <c r="D259" s="102" t="s">
        <v>12</v>
      </c>
      <c r="E259" s="48">
        <f t="shared" si="94"/>
        <v>1430108.9254600001</v>
      </c>
      <c r="F259" s="91">
        <f t="shared" ref="F259:L259" si="99">SUM(F260:F265)</f>
        <v>265344.92694999999</v>
      </c>
      <c r="G259" s="48">
        <f t="shared" si="99"/>
        <v>264161.92694999999</v>
      </c>
      <c r="H259" s="48">
        <f t="shared" si="99"/>
        <v>264161.92694999999</v>
      </c>
      <c r="I259" s="48">
        <f t="shared" si="99"/>
        <v>482915.05460999999</v>
      </c>
      <c r="J259" s="48">
        <f t="shared" si="99"/>
        <v>153525.09</v>
      </c>
      <c r="K259" s="48">
        <f t="shared" si="99"/>
        <v>0</v>
      </c>
      <c r="L259" s="48">
        <f t="shared" si="99"/>
        <v>0</v>
      </c>
    </row>
    <row r="260" spans="1:12" x14ac:dyDescent="0.25">
      <c r="A260" s="503"/>
      <c r="B260" s="504"/>
      <c r="C260" s="505"/>
      <c r="D260" s="102" t="s">
        <v>13</v>
      </c>
      <c r="E260" s="48">
        <f t="shared" si="94"/>
        <v>0</v>
      </c>
      <c r="F260" s="50">
        <f t="shared" ref="F260:L265" si="100">F52</f>
        <v>0</v>
      </c>
      <c r="G260" s="50">
        <f t="shared" si="100"/>
        <v>0</v>
      </c>
      <c r="H260" s="50">
        <f t="shared" si="100"/>
        <v>0</v>
      </c>
      <c r="I260" s="50">
        <f t="shared" si="100"/>
        <v>0</v>
      </c>
      <c r="J260" s="50">
        <f t="shared" si="100"/>
        <v>0</v>
      </c>
      <c r="K260" s="50">
        <f t="shared" si="100"/>
        <v>0</v>
      </c>
      <c r="L260" s="50">
        <f t="shared" si="100"/>
        <v>0</v>
      </c>
    </row>
    <row r="261" spans="1:12" x14ac:dyDescent="0.25">
      <c r="A261" s="503"/>
      <c r="B261" s="504"/>
      <c r="C261" s="505"/>
      <c r="D261" s="102" t="s">
        <v>14</v>
      </c>
      <c r="E261" s="48">
        <f t="shared" si="94"/>
        <v>0</v>
      </c>
      <c r="F261" s="50">
        <f t="shared" si="100"/>
        <v>0</v>
      </c>
      <c r="G261" s="50">
        <f t="shared" si="100"/>
        <v>0</v>
      </c>
      <c r="H261" s="50">
        <f t="shared" si="100"/>
        <v>0</v>
      </c>
      <c r="I261" s="50">
        <f t="shared" si="100"/>
        <v>0</v>
      </c>
      <c r="J261" s="50">
        <f t="shared" si="100"/>
        <v>0</v>
      </c>
      <c r="K261" s="50">
        <f t="shared" si="100"/>
        <v>0</v>
      </c>
      <c r="L261" s="50">
        <f t="shared" si="100"/>
        <v>0</v>
      </c>
    </row>
    <row r="262" spans="1:12" x14ac:dyDescent="0.25">
      <c r="A262" s="503"/>
      <c r="B262" s="504"/>
      <c r="C262" s="505"/>
      <c r="D262" s="102" t="s">
        <v>15</v>
      </c>
      <c r="E262" s="52">
        <f t="shared" si="94"/>
        <v>814471.90850999998</v>
      </c>
      <c r="F262" s="92">
        <f t="shared" si="100"/>
        <v>265344.92694999999</v>
      </c>
      <c r="G262" s="50">
        <f t="shared" si="100"/>
        <v>264161.92694999999</v>
      </c>
      <c r="H262" s="50">
        <f t="shared" si="100"/>
        <v>264161.92694999999</v>
      </c>
      <c r="I262" s="50">
        <f t="shared" si="100"/>
        <v>20803.127659999998</v>
      </c>
      <c r="J262" s="50">
        <f t="shared" si="100"/>
        <v>0</v>
      </c>
      <c r="K262" s="50">
        <f t="shared" si="100"/>
        <v>0</v>
      </c>
      <c r="L262" s="50">
        <f t="shared" si="100"/>
        <v>0</v>
      </c>
    </row>
    <row r="263" spans="1:12" ht="30" x14ac:dyDescent="0.25">
      <c r="A263" s="503"/>
      <c r="B263" s="504"/>
      <c r="C263" s="505"/>
      <c r="D263" s="100" t="s">
        <v>94</v>
      </c>
      <c r="E263" s="48">
        <f t="shared" si="94"/>
        <v>0</v>
      </c>
      <c r="F263" s="50">
        <f t="shared" si="100"/>
        <v>0</v>
      </c>
      <c r="G263" s="50">
        <f t="shared" si="100"/>
        <v>0</v>
      </c>
      <c r="H263" s="50">
        <f t="shared" si="100"/>
        <v>0</v>
      </c>
      <c r="I263" s="50">
        <f t="shared" si="100"/>
        <v>0</v>
      </c>
      <c r="J263" s="50">
        <f t="shared" si="100"/>
        <v>0</v>
      </c>
      <c r="K263" s="50">
        <f t="shared" si="100"/>
        <v>0</v>
      </c>
      <c r="L263" s="50">
        <f t="shared" si="100"/>
        <v>0</v>
      </c>
    </row>
    <row r="264" spans="1:12" x14ac:dyDescent="0.25">
      <c r="A264" s="503"/>
      <c r="B264" s="504"/>
      <c r="C264" s="505"/>
      <c r="D264" s="100" t="s">
        <v>102</v>
      </c>
      <c r="E264" s="48">
        <f t="shared" si="94"/>
        <v>0</v>
      </c>
      <c r="F264" s="50">
        <f t="shared" si="100"/>
        <v>0</v>
      </c>
      <c r="G264" s="50">
        <f t="shared" si="100"/>
        <v>0</v>
      </c>
      <c r="H264" s="50">
        <f t="shared" si="100"/>
        <v>0</v>
      </c>
      <c r="I264" s="50">
        <f t="shared" si="100"/>
        <v>0</v>
      </c>
      <c r="J264" s="50">
        <f t="shared" si="100"/>
        <v>0</v>
      </c>
      <c r="K264" s="50">
        <f t="shared" si="100"/>
        <v>0</v>
      </c>
      <c r="L264" s="50">
        <f t="shared" si="100"/>
        <v>0</v>
      </c>
    </row>
    <row r="265" spans="1:12" x14ac:dyDescent="0.25">
      <c r="A265" s="506"/>
      <c r="B265" s="507"/>
      <c r="C265" s="508"/>
      <c r="D265" s="51" t="s">
        <v>18</v>
      </c>
      <c r="E265" s="48">
        <f t="shared" si="94"/>
        <v>615637.01694999996</v>
      </c>
      <c r="F265" s="50">
        <f t="shared" si="100"/>
        <v>0</v>
      </c>
      <c r="G265" s="50">
        <f t="shared" si="100"/>
        <v>0</v>
      </c>
      <c r="H265" s="50">
        <f t="shared" si="100"/>
        <v>0</v>
      </c>
      <c r="I265" s="50">
        <f t="shared" si="100"/>
        <v>462111.92694999999</v>
      </c>
      <c r="J265" s="50">
        <f t="shared" si="100"/>
        <v>153525.09</v>
      </c>
      <c r="K265" s="50">
        <f t="shared" si="100"/>
        <v>0</v>
      </c>
      <c r="L265" s="50">
        <f t="shared" si="100"/>
        <v>0</v>
      </c>
    </row>
    <row r="266" spans="1:12" x14ac:dyDescent="0.25">
      <c r="A266" s="500" t="s">
        <v>186</v>
      </c>
      <c r="B266" s="501"/>
      <c r="C266" s="502"/>
      <c r="D266" s="102" t="s">
        <v>12</v>
      </c>
      <c r="E266" s="48">
        <f t="shared" ref="E266:E279" si="101">SUM(F266:L266)</f>
        <v>29238.943629999998</v>
      </c>
      <c r="F266" s="91">
        <f t="shared" ref="F266:L266" si="102">SUM(F267:F272)</f>
        <v>1691.9242900000002</v>
      </c>
      <c r="G266" s="48">
        <f t="shared" si="102"/>
        <v>1872.46696</v>
      </c>
      <c r="H266" s="48">
        <f t="shared" si="102"/>
        <v>994.7523799999999</v>
      </c>
      <c r="I266" s="48">
        <f t="shared" si="102"/>
        <v>2742.2</v>
      </c>
      <c r="J266" s="48">
        <f t="shared" si="102"/>
        <v>2742.2</v>
      </c>
      <c r="K266" s="48">
        <f t="shared" si="102"/>
        <v>2742.2</v>
      </c>
      <c r="L266" s="48">
        <f t="shared" si="102"/>
        <v>16453.199999999997</v>
      </c>
    </row>
    <row r="267" spans="1:12" x14ac:dyDescent="0.25">
      <c r="A267" s="503"/>
      <c r="B267" s="504"/>
      <c r="C267" s="505"/>
      <c r="D267" s="102" t="s">
        <v>13</v>
      </c>
      <c r="E267" s="48">
        <f t="shared" si="101"/>
        <v>0</v>
      </c>
      <c r="F267" s="50">
        <f>F116</f>
        <v>0</v>
      </c>
      <c r="G267" s="50">
        <f t="shared" ref="G267:L267" si="103">G116</f>
        <v>0</v>
      </c>
      <c r="H267" s="50">
        <f t="shared" si="103"/>
        <v>0</v>
      </c>
      <c r="I267" s="50">
        <f t="shared" si="103"/>
        <v>0</v>
      </c>
      <c r="J267" s="50">
        <f t="shared" si="103"/>
        <v>0</v>
      </c>
      <c r="K267" s="50">
        <f t="shared" si="103"/>
        <v>0</v>
      </c>
      <c r="L267" s="50">
        <f t="shared" si="103"/>
        <v>0</v>
      </c>
    </row>
    <row r="268" spans="1:12" x14ac:dyDescent="0.25">
      <c r="A268" s="503"/>
      <c r="B268" s="504"/>
      <c r="C268" s="505"/>
      <c r="D268" s="102" t="s">
        <v>14</v>
      </c>
      <c r="E268" s="48">
        <f t="shared" si="101"/>
        <v>0</v>
      </c>
      <c r="F268" s="50">
        <f t="shared" ref="F268:L272" si="104">F117</f>
        <v>0</v>
      </c>
      <c r="G268" s="50">
        <f t="shared" si="104"/>
        <v>0</v>
      </c>
      <c r="H268" s="50">
        <f t="shared" si="104"/>
        <v>0</v>
      </c>
      <c r="I268" s="50">
        <f t="shared" si="104"/>
        <v>0</v>
      </c>
      <c r="J268" s="50">
        <f t="shared" si="104"/>
        <v>0</v>
      </c>
      <c r="K268" s="50">
        <f t="shared" si="104"/>
        <v>0</v>
      </c>
      <c r="L268" s="50">
        <f t="shared" si="104"/>
        <v>0</v>
      </c>
    </row>
    <row r="269" spans="1:12" x14ac:dyDescent="0.25">
      <c r="A269" s="503"/>
      <c r="B269" s="504"/>
      <c r="C269" s="505"/>
      <c r="D269" s="102" t="s">
        <v>15</v>
      </c>
      <c r="E269" s="52">
        <f t="shared" si="101"/>
        <v>29238.943629999998</v>
      </c>
      <c r="F269" s="92">
        <f t="shared" si="104"/>
        <v>1691.9242900000002</v>
      </c>
      <c r="G269" s="50">
        <f t="shared" si="104"/>
        <v>1872.46696</v>
      </c>
      <c r="H269" s="50">
        <f t="shared" si="104"/>
        <v>994.7523799999999</v>
      </c>
      <c r="I269" s="50">
        <f t="shared" si="104"/>
        <v>2742.2</v>
      </c>
      <c r="J269" s="50">
        <f t="shared" si="104"/>
        <v>2742.2</v>
      </c>
      <c r="K269" s="50">
        <f t="shared" si="104"/>
        <v>2742.2</v>
      </c>
      <c r="L269" s="50">
        <f t="shared" si="104"/>
        <v>16453.199999999997</v>
      </c>
    </row>
    <row r="270" spans="1:12" ht="30" x14ac:dyDescent="0.25">
      <c r="A270" s="503"/>
      <c r="B270" s="504"/>
      <c r="C270" s="505"/>
      <c r="D270" s="100" t="s">
        <v>94</v>
      </c>
      <c r="E270" s="48">
        <f t="shared" si="101"/>
        <v>0</v>
      </c>
      <c r="F270" s="50">
        <f t="shared" si="104"/>
        <v>0</v>
      </c>
      <c r="G270" s="50">
        <f t="shared" si="104"/>
        <v>0</v>
      </c>
      <c r="H270" s="50">
        <f t="shared" si="104"/>
        <v>0</v>
      </c>
      <c r="I270" s="50">
        <f t="shared" si="104"/>
        <v>0</v>
      </c>
      <c r="J270" s="50">
        <f t="shared" si="104"/>
        <v>0</v>
      </c>
      <c r="K270" s="50">
        <f t="shared" si="104"/>
        <v>0</v>
      </c>
      <c r="L270" s="50">
        <f t="shared" si="104"/>
        <v>0</v>
      </c>
    </row>
    <row r="271" spans="1:12" x14ac:dyDescent="0.25">
      <c r="A271" s="503"/>
      <c r="B271" s="504"/>
      <c r="C271" s="505"/>
      <c r="D271" s="100" t="s">
        <v>102</v>
      </c>
      <c r="E271" s="48">
        <f t="shared" si="101"/>
        <v>0</v>
      </c>
      <c r="F271" s="50">
        <f t="shared" si="104"/>
        <v>0</v>
      </c>
      <c r="G271" s="50">
        <f t="shared" si="104"/>
        <v>0</v>
      </c>
      <c r="H271" s="50">
        <f t="shared" si="104"/>
        <v>0</v>
      </c>
      <c r="I271" s="50">
        <f t="shared" si="104"/>
        <v>0</v>
      </c>
      <c r="J271" s="50">
        <f t="shared" si="104"/>
        <v>0</v>
      </c>
      <c r="K271" s="50">
        <f t="shared" si="104"/>
        <v>0</v>
      </c>
      <c r="L271" s="50">
        <f t="shared" si="104"/>
        <v>0</v>
      </c>
    </row>
    <row r="272" spans="1:12" x14ac:dyDescent="0.25">
      <c r="A272" s="506"/>
      <c r="B272" s="507"/>
      <c r="C272" s="508"/>
      <c r="D272" s="51" t="s">
        <v>18</v>
      </c>
      <c r="E272" s="48">
        <f t="shared" si="101"/>
        <v>0</v>
      </c>
      <c r="F272" s="50">
        <f t="shared" si="104"/>
        <v>0</v>
      </c>
      <c r="G272" s="50">
        <f t="shared" si="104"/>
        <v>0</v>
      </c>
      <c r="H272" s="50">
        <f t="shared" si="104"/>
        <v>0</v>
      </c>
      <c r="I272" s="50">
        <f t="shared" si="104"/>
        <v>0</v>
      </c>
      <c r="J272" s="50">
        <f t="shared" si="104"/>
        <v>0</v>
      </c>
      <c r="K272" s="50">
        <f t="shared" si="104"/>
        <v>0</v>
      </c>
      <c r="L272" s="50">
        <f t="shared" si="104"/>
        <v>0</v>
      </c>
    </row>
    <row r="273" spans="1:12" x14ac:dyDescent="0.25">
      <c r="A273" s="500" t="s">
        <v>149</v>
      </c>
      <c r="B273" s="501"/>
      <c r="C273" s="502"/>
      <c r="D273" s="102" t="s">
        <v>12</v>
      </c>
      <c r="E273" s="53">
        <f t="shared" si="101"/>
        <v>2751.3</v>
      </c>
      <c r="F273" s="53">
        <f t="shared" ref="F273:L273" si="105">SUM(F274:F279)</f>
        <v>0</v>
      </c>
      <c r="G273" s="53">
        <f t="shared" si="105"/>
        <v>1301.5999999999999</v>
      </c>
      <c r="H273" s="53">
        <f t="shared" si="105"/>
        <v>1449.7</v>
      </c>
      <c r="I273" s="53">
        <f t="shared" si="105"/>
        <v>0</v>
      </c>
      <c r="J273" s="53">
        <f t="shared" si="105"/>
        <v>0</v>
      </c>
      <c r="K273" s="53">
        <f t="shared" si="105"/>
        <v>0</v>
      </c>
      <c r="L273" s="53">
        <f t="shared" si="105"/>
        <v>0</v>
      </c>
    </row>
    <row r="274" spans="1:12" x14ac:dyDescent="0.25">
      <c r="A274" s="503"/>
      <c r="B274" s="504"/>
      <c r="C274" s="505"/>
      <c r="D274" s="102" t="s">
        <v>13</v>
      </c>
      <c r="E274" s="48">
        <f t="shared" si="101"/>
        <v>0</v>
      </c>
      <c r="F274" s="50">
        <f>F123</f>
        <v>0</v>
      </c>
      <c r="G274" s="50">
        <f t="shared" ref="G274:L279" si="106">G123</f>
        <v>0</v>
      </c>
      <c r="H274" s="50">
        <f t="shared" si="106"/>
        <v>0</v>
      </c>
      <c r="I274" s="50">
        <f t="shared" si="106"/>
        <v>0</v>
      </c>
      <c r="J274" s="50">
        <f t="shared" si="106"/>
        <v>0</v>
      </c>
      <c r="K274" s="50">
        <f t="shared" si="106"/>
        <v>0</v>
      </c>
      <c r="L274" s="50">
        <f t="shared" si="106"/>
        <v>0</v>
      </c>
    </row>
    <row r="275" spans="1:12" x14ac:dyDescent="0.25">
      <c r="A275" s="503"/>
      <c r="B275" s="504"/>
      <c r="C275" s="505"/>
      <c r="D275" s="102" t="s">
        <v>14</v>
      </c>
      <c r="E275" s="48">
        <f t="shared" si="101"/>
        <v>0</v>
      </c>
      <c r="F275" s="50">
        <f t="shared" ref="F275:F279" si="107">F124</f>
        <v>0</v>
      </c>
      <c r="G275" s="50">
        <f t="shared" si="106"/>
        <v>0</v>
      </c>
      <c r="H275" s="50">
        <f t="shared" si="106"/>
        <v>0</v>
      </c>
      <c r="I275" s="50">
        <f t="shared" si="106"/>
        <v>0</v>
      </c>
      <c r="J275" s="50">
        <f t="shared" si="106"/>
        <v>0</v>
      </c>
      <c r="K275" s="50">
        <f t="shared" si="106"/>
        <v>0</v>
      </c>
      <c r="L275" s="50">
        <f t="shared" si="106"/>
        <v>0</v>
      </c>
    </row>
    <row r="276" spans="1:12" x14ac:dyDescent="0.25">
      <c r="A276" s="503"/>
      <c r="B276" s="504"/>
      <c r="C276" s="505"/>
      <c r="D276" s="102" t="s">
        <v>15</v>
      </c>
      <c r="E276" s="52">
        <f t="shared" si="101"/>
        <v>2751.3</v>
      </c>
      <c r="F276" s="50">
        <f t="shared" si="107"/>
        <v>0</v>
      </c>
      <c r="G276" s="50">
        <f t="shared" si="106"/>
        <v>1301.5999999999999</v>
      </c>
      <c r="H276" s="50">
        <f t="shared" si="106"/>
        <v>1449.7</v>
      </c>
      <c r="I276" s="50">
        <f t="shared" si="106"/>
        <v>0</v>
      </c>
      <c r="J276" s="50">
        <f t="shared" si="106"/>
        <v>0</v>
      </c>
      <c r="K276" s="50">
        <f t="shared" si="106"/>
        <v>0</v>
      </c>
      <c r="L276" s="50">
        <f t="shared" si="106"/>
        <v>0</v>
      </c>
    </row>
    <row r="277" spans="1:12" ht="30" x14ac:dyDescent="0.25">
      <c r="A277" s="503"/>
      <c r="B277" s="504"/>
      <c r="C277" s="505"/>
      <c r="D277" s="100" t="s">
        <v>94</v>
      </c>
      <c r="E277" s="48">
        <f t="shared" si="101"/>
        <v>0</v>
      </c>
      <c r="F277" s="50">
        <f t="shared" si="107"/>
        <v>0</v>
      </c>
      <c r="G277" s="50">
        <f t="shared" si="106"/>
        <v>0</v>
      </c>
      <c r="H277" s="50">
        <f t="shared" si="106"/>
        <v>0</v>
      </c>
      <c r="I277" s="50">
        <f t="shared" si="106"/>
        <v>0</v>
      </c>
      <c r="J277" s="50">
        <f t="shared" si="106"/>
        <v>0</v>
      </c>
      <c r="K277" s="50">
        <f t="shared" si="106"/>
        <v>0</v>
      </c>
      <c r="L277" s="50">
        <f t="shared" si="106"/>
        <v>0</v>
      </c>
    </row>
    <row r="278" spans="1:12" x14ac:dyDescent="0.25">
      <c r="A278" s="503"/>
      <c r="B278" s="504"/>
      <c r="C278" s="505"/>
      <c r="D278" s="100" t="s">
        <v>102</v>
      </c>
      <c r="E278" s="48">
        <f t="shared" si="101"/>
        <v>0</v>
      </c>
      <c r="F278" s="50">
        <f t="shared" si="107"/>
        <v>0</v>
      </c>
      <c r="G278" s="50">
        <f t="shared" si="106"/>
        <v>0</v>
      </c>
      <c r="H278" s="50">
        <f t="shared" si="106"/>
        <v>0</v>
      </c>
      <c r="I278" s="50">
        <f t="shared" si="106"/>
        <v>0</v>
      </c>
      <c r="J278" s="50">
        <f t="shared" si="106"/>
        <v>0</v>
      </c>
      <c r="K278" s="50">
        <f t="shared" si="106"/>
        <v>0</v>
      </c>
      <c r="L278" s="50">
        <f t="shared" si="106"/>
        <v>0</v>
      </c>
    </row>
    <row r="279" spans="1:12" x14ac:dyDescent="0.25">
      <c r="A279" s="506"/>
      <c r="B279" s="507"/>
      <c r="C279" s="508"/>
      <c r="D279" s="51" t="s">
        <v>18</v>
      </c>
      <c r="E279" s="48">
        <f t="shared" si="101"/>
        <v>0</v>
      </c>
      <c r="F279" s="50">
        <f t="shared" si="107"/>
        <v>0</v>
      </c>
      <c r="G279" s="50">
        <f t="shared" si="106"/>
        <v>0</v>
      </c>
      <c r="H279" s="50">
        <f t="shared" si="106"/>
        <v>0</v>
      </c>
      <c r="I279" s="50">
        <f t="shared" si="106"/>
        <v>0</v>
      </c>
      <c r="J279" s="50">
        <f t="shared" si="106"/>
        <v>0</v>
      </c>
      <c r="K279" s="50">
        <f t="shared" si="106"/>
        <v>0</v>
      </c>
      <c r="L279" s="50">
        <f t="shared" si="106"/>
        <v>0</v>
      </c>
    </row>
    <row r="280" spans="1:12" x14ac:dyDescent="0.25">
      <c r="A280" s="54"/>
      <c r="B280" s="55"/>
      <c r="C280" s="56"/>
      <c r="D280" s="56"/>
      <c r="E280" s="56"/>
      <c r="F280" s="56"/>
      <c r="G280" s="56"/>
      <c r="H280" s="56"/>
      <c r="I280" s="56"/>
      <c r="J280" s="56"/>
      <c r="K280" s="56"/>
      <c r="L280" s="56"/>
    </row>
    <row r="281" spans="1:12" x14ac:dyDescent="0.25">
      <c r="A281" s="422" t="s">
        <v>103</v>
      </c>
      <c r="B281" s="422"/>
      <c r="C281" s="422"/>
      <c r="D281" s="422"/>
      <c r="E281" s="422"/>
      <c r="F281" s="422"/>
      <c r="G281" s="422"/>
      <c r="H281" s="422"/>
      <c r="I281" s="422"/>
      <c r="J281" s="422"/>
      <c r="K281" s="422"/>
      <c r="L281" s="422"/>
    </row>
    <row r="282" spans="1:12" x14ac:dyDescent="0.25">
      <c r="A282" s="422" t="s">
        <v>104</v>
      </c>
      <c r="B282" s="422"/>
      <c r="C282" s="422"/>
      <c r="D282" s="422"/>
      <c r="E282" s="422"/>
      <c r="F282" s="422"/>
      <c r="G282" s="422"/>
      <c r="H282" s="422"/>
      <c r="I282" s="422"/>
      <c r="J282" s="422"/>
      <c r="K282" s="422"/>
      <c r="L282" s="422"/>
    </row>
    <row r="283" spans="1:12" x14ac:dyDescent="0.25">
      <c r="A283" s="422" t="s">
        <v>107</v>
      </c>
      <c r="B283" s="422"/>
      <c r="C283" s="422"/>
      <c r="D283" s="422"/>
      <c r="E283" s="422"/>
      <c r="F283" s="422"/>
      <c r="G283" s="422"/>
      <c r="H283" s="422"/>
      <c r="I283" s="422"/>
      <c r="J283" s="422"/>
      <c r="K283" s="422"/>
      <c r="L283" s="422"/>
    </row>
    <row r="284" spans="1:12" x14ac:dyDescent="0.25">
      <c r="A284" s="422" t="s">
        <v>108</v>
      </c>
      <c r="B284" s="422"/>
      <c r="C284" s="422"/>
      <c r="D284" s="422"/>
      <c r="E284" s="422"/>
      <c r="F284" s="422"/>
      <c r="G284" s="422"/>
      <c r="H284" s="422"/>
      <c r="I284" s="422"/>
      <c r="J284" s="422"/>
      <c r="K284" s="422"/>
      <c r="L284" s="422"/>
    </row>
    <row r="285" spans="1:12" x14ac:dyDescent="0.25">
      <c r="A285" s="422" t="s">
        <v>105</v>
      </c>
      <c r="B285" s="422"/>
      <c r="C285" s="422"/>
      <c r="D285" s="422"/>
      <c r="E285" s="422"/>
      <c r="F285" s="422"/>
      <c r="G285" s="422"/>
      <c r="H285" s="422"/>
      <c r="I285" s="422"/>
      <c r="J285" s="422"/>
      <c r="K285" s="422"/>
      <c r="L285" s="422"/>
    </row>
    <row r="286" spans="1:12" x14ac:dyDescent="0.25">
      <c r="A286" s="422" t="s">
        <v>106</v>
      </c>
      <c r="B286" s="422"/>
      <c r="C286" s="422"/>
      <c r="D286" s="422"/>
      <c r="E286" s="422"/>
      <c r="F286" s="422"/>
      <c r="G286" s="422"/>
      <c r="H286" s="422"/>
      <c r="I286" s="422"/>
      <c r="J286" s="422"/>
      <c r="K286" s="422"/>
      <c r="L286" s="422"/>
    </row>
    <row r="287" spans="1:12" x14ac:dyDescent="0.25">
      <c r="E287" s="57"/>
      <c r="F287" s="57"/>
      <c r="G287" s="57"/>
      <c r="H287" s="57"/>
      <c r="I287" s="57"/>
      <c r="J287" s="57"/>
      <c r="K287" s="57"/>
      <c r="L287" s="57"/>
    </row>
    <row r="288" spans="1:12" x14ac:dyDescent="0.25">
      <c r="E288" s="57"/>
      <c r="F288" s="57"/>
      <c r="G288" s="57"/>
      <c r="H288" s="57"/>
      <c r="I288" s="57"/>
      <c r="J288" s="57"/>
      <c r="K288" s="57"/>
      <c r="L288" s="57"/>
    </row>
    <row r="289" spans="2:12" s="32" customFormat="1" x14ac:dyDescent="0.25">
      <c r="B289" s="31" t="s">
        <v>163</v>
      </c>
      <c r="E289" s="57"/>
      <c r="F289" s="57"/>
      <c r="G289" s="57"/>
      <c r="H289" s="57"/>
      <c r="I289" s="57"/>
      <c r="J289" s="57"/>
      <c r="K289" s="57"/>
      <c r="L289" s="57"/>
    </row>
    <row r="290" spans="2:12" s="32" customFormat="1" x14ac:dyDescent="0.25">
      <c r="B290" s="31"/>
      <c r="E290" s="57">
        <f>E207-E215-E222</f>
        <v>0</v>
      </c>
      <c r="F290" s="57">
        <f t="shared" ref="F290:L290" si="108">F207-F215-F222</f>
        <v>0</v>
      </c>
      <c r="G290" s="57">
        <f t="shared" si="108"/>
        <v>0</v>
      </c>
      <c r="H290" s="57">
        <f t="shared" si="108"/>
        <v>0</v>
      </c>
      <c r="I290" s="57">
        <f t="shared" si="108"/>
        <v>0</v>
      </c>
      <c r="J290" s="57">
        <f t="shared" si="108"/>
        <v>0</v>
      </c>
      <c r="K290" s="57">
        <f t="shared" si="108"/>
        <v>0</v>
      </c>
      <c r="L290" s="57">
        <f t="shared" si="108"/>
        <v>0</v>
      </c>
    </row>
    <row r="291" spans="2:12" s="32" customFormat="1" x14ac:dyDescent="0.25">
      <c r="B291" s="31"/>
      <c r="E291" s="57">
        <f t="shared" ref="E291:L296" si="109">E208-E216-E223</f>
        <v>0</v>
      </c>
      <c r="F291" s="57">
        <f t="shared" si="109"/>
        <v>0</v>
      </c>
      <c r="G291" s="57">
        <f t="shared" si="109"/>
        <v>0</v>
      </c>
      <c r="H291" s="57">
        <f t="shared" si="109"/>
        <v>0</v>
      </c>
      <c r="I291" s="57">
        <f t="shared" si="109"/>
        <v>0</v>
      </c>
      <c r="J291" s="57">
        <f t="shared" si="109"/>
        <v>0</v>
      </c>
      <c r="K291" s="57">
        <f t="shared" si="109"/>
        <v>0</v>
      </c>
      <c r="L291" s="57">
        <f t="shared" si="109"/>
        <v>0</v>
      </c>
    </row>
    <row r="292" spans="2:12" s="32" customFormat="1" x14ac:dyDescent="0.25">
      <c r="B292" s="31"/>
      <c r="E292" s="57">
        <f t="shared" si="109"/>
        <v>0</v>
      </c>
      <c r="F292" s="57">
        <f t="shared" si="109"/>
        <v>0</v>
      </c>
      <c r="G292" s="57">
        <f t="shared" si="109"/>
        <v>0</v>
      </c>
      <c r="H292" s="57">
        <f t="shared" si="109"/>
        <v>0</v>
      </c>
      <c r="I292" s="57">
        <f t="shared" si="109"/>
        <v>0</v>
      </c>
      <c r="J292" s="57">
        <f t="shared" si="109"/>
        <v>0</v>
      </c>
      <c r="K292" s="57">
        <f t="shared" si="109"/>
        <v>0</v>
      </c>
      <c r="L292" s="57">
        <f t="shared" si="109"/>
        <v>0</v>
      </c>
    </row>
    <row r="293" spans="2:12" s="32" customFormat="1" x14ac:dyDescent="0.25">
      <c r="B293" s="31"/>
      <c r="E293" s="57">
        <f t="shared" si="109"/>
        <v>0</v>
      </c>
      <c r="F293" s="57">
        <f t="shared" si="109"/>
        <v>0</v>
      </c>
      <c r="G293" s="57">
        <f t="shared" si="109"/>
        <v>0</v>
      </c>
      <c r="H293" s="57">
        <f t="shared" si="109"/>
        <v>0</v>
      </c>
      <c r="I293" s="57">
        <f t="shared" si="109"/>
        <v>0</v>
      </c>
      <c r="J293" s="57">
        <f t="shared" si="109"/>
        <v>0</v>
      </c>
      <c r="K293" s="57">
        <f t="shared" si="109"/>
        <v>0</v>
      </c>
      <c r="L293" s="57">
        <f t="shared" si="109"/>
        <v>0</v>
      </c>
    </row>
    <row r="294" spans="2:12" s="32" customFormat="1" x14ac:dyDescent="0.25">
      <c r="B294" s="31"/>
      <c r="E294" s="57">
        <f t="shared" si="109"/>
        <v>0</v>
      </c>
      <c r="F294" s="57">
        <f t="shared" si="109"/>
        <v>0</v>
      </c>
      <c r="G294" s="57">
        <f t="shared" si="109"/>
        <v>0</v>
      </c>
      <c r="H294" s="57">
        <f t="shared" si="109"/>
        <v>0</v>
      </c>
      <c r="I294" s="57">
        <f t="shared" si="109"/>
        <v>0</v>
      </c>
      <c r="J294" s="57">
        <f t="shared" si="109"/>
        <v>0</v>
      </c>
      <c r="K294" s="57">
        <f t="shared" si="109"/>
        <v>0</v>
      </c>
      <c r="L294" s="57">
        <f t="shared" si="109"/>
        <v>0</v>
      </c>
    </row>
    <row r="295" spans="2:12" s="32" customFormat="1" x14ac:dyDescent="0.25">
      <c r="B295" s="31"/>
      <c r="E295" s="57">
        <f t="shared" si="109"/>
        <v>0</v>
      </c>
      <c r="F295" s="57">
        <f t="shared" si="109"/>
        <v>0</v>
      </c>
      <c r="G295" s="57">
        <f t="shared" si="109"/>
        <v>0</v>
      </c>
      <c r="H295" s="57">
        <f t="shared" si="109"/>
        <v>0</v>
      </c>
      <c r="I295" s="57">
        <f t="shared" si="109"/>
        <v>0</v>
      </c>
      <c r="J295" s="57">
        <f t="shared" si="109"/>
        <v>0</v>
      </c>
      <c r="K295" s="57">
        <f t="shared" si="109"/>
        <v>0</v>
      </c>
      <c r="L295" s="57">
        <f t="shared" si="109"/>
        <v>0</v>
      </c>
    </row>
    <row r="296" spans="2:12" s="32" customFormat="1" x14ac:dyDescent="0.25">
      <c r="B296" s="31"/>
      <c r="E296" s="57">
        <f t="shared" si="109"/>
        <v>0</v>
      </c>
      <c r="F296" s="57">
        <f t="shared" si="109"/>
        <v>0</v>
      </c>
      <c r="G296" s="57">
        <f t="shared" si="109"/>
        <v>0</v>
      </c>
      <c r="H296" s="57">
        <f t="shared" si="109"/>
        <v>0</v>
      </c>
      <c r="I296" s="57">
        <f t="shared" si="109"/>
        <v>0</v>
      </c>
      <c r="J296" s="57">
        <f t="shared" si="109"/>
        <v>0</v>
      </c>
      <c r="K296" s="57">
        <f t="shared" si="109"/>
        <v>0</v>
      </c>
      <c r="L296" s="57">
        <f t="shared" si="109"/>
        <v>0</v>
      </c>
    </row>
    <row r="297" spans="2:12" s="32" customFormat="1" x14ac:dyDescent="0.25">
      <c r="B297" s="31"/>
      <c r="E297" s="57"/>
      <c r="F297" s="57"/>
      <c r="G297" s="57"/>
      <c r="H297" s="57"/>
      <c r="I297" s="57"/>
      <c r="J297" s="57"/>
      <c r="K297" s="57"/>
      <c r="L297" s="57"/>
    </row>
    <row r="298" spans="2:12" s="32" customFormat="1" x14ac:dyDescent="0.25">
      <c r="B298" s="31"/>
      <c r="E298" s="57"/>
      <c r="F298" s="57"/>
      <c r="G298" s="57"/>
      <c r="H298" s="57"/>
      <c r="I298" s="57"/>
      <c r="J298" s="57"/>
      <c r="K298" s="57"/>
      <c r="L298" s="57"/>
    </row>
    <row r="299" spans="2:12" s="32" customFormat="1" x14ac:dyDescent="0.25">
      <c r="B299" s="31"/>
      <c r="E299" s="57"/>
      <c r="F299" s="57"/>
      <c r="G299" s="57"/>
      <c r="H299" s="57"/>
      <c r="I299" s="57"/>
      <c r="J299" s="57"/>
      <c r="K299" s="57"/>
      <c r="L299" s="57"/>
    </row>
    <row r="300" spans="2:12" s="32" customFormat="1" x14ac:dyDescent="0.25">
      <c r="B300" s="31"/>
      <c r="E300" s="57">
        <f>E207-E230-E237</f>
        <v>0</v>
      </c>
      <c r="F300" s="57">
        <f t="shared" ref="F300:L300" si="110">F207-F230-F237</f>
        <v>0</v>
      </c>
      <c r="G300" s="57">
        <f t="shared" si="110"/>
        <v>0</v>
      </c>
      <c r="H300" s="57">
        <f t="shared" si="110"/>
        <v>0</v>
      </c>
      <c r="I300" s="57">
        <f t="shared" si="110"/>
        <v>0</v>
      </c>
      <c r="J300" s="57">
        <f t="shared" si="110"/>
        <v>0</v>
      </c>
      <c r="K300" s="57">
        <f t="shared" si="110"/>
        <v>0</v>
      </c>
      <c r="L300" s="57">
        <f t="shared" si="110"/>
        <v>0</v>
      </c>
    </row>
    <row r="301" spans="2:12" s="32" customFormat="1" x14ac:dyDescent="0.25">
      <c r="B301" s="31"/>
      <c r="E301" s="57">
        <f t="shared" ref="E301:L306" si="111">E208-E231-E238</f>
        <v>0</v>
      </c>
      <c r="F301" s="57">
        <f t="shared" si="111"/>
        <v>0</v>
      </c>
      <c r="G301" s="57">
        <f t="shared" si="111"/>
        <v>0</v>
      </c>
      <c r="H301" s="57">
        <f t="shared" si="111"/>
        <v>0</v>
      </c>
      <c r="I301" s="57">
        <f t="shared" si="111"/>
        <v>0</v>
      </c>
      <c r="J301" s="57">
        <f t="shared" si="111"/>
        <v>0</v>
      </c>
      <c r="K301" s="57">
        <f t="shared" si="111"/>
        <v>0</v>
      </c>
      <c r="L301" s="57">
        <f t="shared" si="111"/>
        <v>0</v>
      </c>
    </row>
    <row r="302" spans="2:12" s="32" customFormat="1" x14ac:dyDescent="0.25">
      <c r="B302" s="31"/>
      <c r="E302" s="57">
        <f t="shared" si="111"/>
        <v>0</v>
      </c>
      <c r="F302" s="57">
        <f t="shared" si="111"/>
        <v>0</v>
      </c>
      <c r="G302" s="57">
        <f t="shared" si="111"/>
        <v>0</v>
      </c>
      <c r="H302" s="57">
        <f t="shared" si="111"/>
        <v>0</v>
      </c>
      <c r="I302" s="57">
        <f t="shared" si="111"/>
        <v>0</v>
      </c>
      <c r="J302" s="57">
        <f t="shared" si="111"/>
        <v>0</v>
      </c>
      <c r="K302" s="57">
        <f t="shared" si="111"/>
        <v>0</v>
      </c>
      <c r="L302" s="57">
        <f t="shared" si="111"/>
        <v>0</v>
      </c>
    </row>
    <row r="303" spans="2:12" s="32" customFormat="1" x14ac:dyDescent="0.25">
      <c r="B303" s="31"/>
      <c r="E303" s="57">
        <f t="shared" si="111"/>
        <v>0</v>
      </c>
      <c r="F303" s="57">
        <f t="shared" si="111"/>
        <v>0</v>
      </c>
      <c r="G303" s="57">
        <f t="shared" si="111"/>
        <v>0</v>
      </c>
      <c r="H303" s="57">
        <f t="shared" si="111"/>
        <v>0</v>
      </c>
      <c r="I303" s="57">
        <f t="shared" si="111"/>
        <v>0</v>
      </c>
      <c r="J303" s="57">
        <f t="shared" si="111"/>
        <v>0</v>
      </c>
      <c r="K303" s="57">
        <f t="shared" si="111"/>
        <v>0</v>
      </c>
      <c r="L303" s="57">
        <f t="shared" si="111"/>
        <v>0</v>
      </c>
    </row>
    <row r="304" spans="2:12" s="32" customFormat="1" x14ac:dyDescent="0.25">
      <c r="B304" s="31"/>
      <c r="E304" s="57">
        <f t="shared" si="111"/>
        <v>0</v>
      </c>
      <c r="F304" s="57">
        <f t="shared" si="111"/>
        <v>0</v>
      </c>
      <c r="G304" s="57">
        <f t="shared" si="111"/>
        <v>0</v>
      </c>
      <c r="H304" s="57">
        <f t="shared" si="111"/>
        <v>0</v>
      </c>
      <c r="I304" s="57">
        <f t="shared" si="111"/>
        <v>0</v>
      </c>
      <c r="J304" s="57">
        <f t="shared" si="111"/>
        <v>0</v>
      </c>
      <c r="K304" s="57">
        <f t="shared" si="111"/>
        <v>0</v>
      </c>
      <c r="L304" s="57">
        <f t="shared" si="111"/>
        <v>0</v>
      </c>
    </row>
    <row r="305" spans="5:12" s="32" customFormat="1" x14ac:dyDescent="0.25">
      <c r="E305" s="57">
        <f t="shared" si="111"/>
        <v>0</v>
      </c>
      <c r="F305" s="57">
        <f t="shared" si="111"/>
        <v>0</v>
      </c>
      <c r="G305" s="57">
        <f t="shared" si="111"/>
        <v>0</v>
      </c>
      <c r="H305" s="57">
        <f t="shared" si="111"/>
        <v>0</v>
      </c>
      <c r="I305" s="57">
        <f t="shared" si="111"/>
        <v>0</v>
      </c>
      <c r="J305" s="57">
        <f t="shared" si="111"/>
        <v>0</v>
      </c>
      <c r="K305" s="57">
        <f t="shared" si="111"/>
        <v>0</v>
      </c>
      <c r="L305" s="57">
        <f t="shared" si="111"/>
        <v>0</v>
      </c>
    </row>
    <row r="306" spans="5:12" s="32" customFormat="1" x14ac:dyDescent="0.25">
      <c r="E306" s="57">
        <f t="shared" si="111"/>
        <v>0</v>
      </c>
      <c r="F306" s="57">
        <f t="shared" si="111"/>
        <v>0</v>
      </c>
      <c r="G306" s="57">
        <f t="shared" si="111"/>
        <v>0</v>
      </c>
      <c r="H306" s="57">
        <f t="shared" si="111"/>
        <v>0</v>
      </c>
      <c r="I306" s="57">
        <f t="shared" si="111"/>
        <v>0</v>
      </c>
      <c r="J306" s="57">
        <f t="shared" si="111"/>
        <v>0</v>
      </c>
      <c r="K306" s="57">
        <f t="shared" si="111"/>
        <v>0</v>
      </c>
      <c r="L306" s="57">
        <f t="shared" si="111"/>
        <v>0</v>
      </c>
    </row>
    <row r="307" spans="5:12" s="32" customFormat="1" x14ac:dyDescent="0.25">
      <c r="E307" s="57"/>
      <c r="F307" s="57"/>
      <c r="G307" s="57"/>
      <c r="H307" s="57"/>
      <c r="I307" s="57"/>
      <c r="J307" s="57"/>
      <c r="K307" s="57"/>
      <c r="L307" s="57"/>
    </row>
    <row r="308" spans="5:12" s="32" customFormat="1" x14ac:dyDescent="0.25">
      <c r="E308" s="57">
        <f>E207-E245-E252-E259-E266-E273</f>
        <v>1.5916157281026244E-10</v>
      </c>
      <c r="F308" s="57">
        <f t="shared" ref="F308:L308" si="112">F207-F245-F252-F259-F266-F273</f>
        <v>5.3432813729159534E-11</v>
      </c>
      <c r="G308" s="57">
        <f t="shared" si="112"/>
        <v>-9.0722096501849592E-11</v>
      </c>
      <c r="H308" s="57">
        <f t="shared" si="112"/>
        <v>1.4802026271354407E-10</v>
      </c>
      <c r="I308" s="57">
        <f t="shared" si="112"/>
        <v>-1.0459189070388675E-10</v>
      </c>
      <c r="J308" s="57">
        <f t="shared" si="112"/>
        <v>9.9134922493249178E-11</v>
      </c>
      <c r="K308" s="57">
        <f t="shared" si="112"/>
        <v>-1.7280399333685637E-11</v>
      </c>
      <c r="L308" s="57">
        <f t="shared" si="112"/>
        <v>1.8917489796876907E-10</v>
      </c>
    </row>
    <row r="309" spans="5:12" s="32" customFormat="1" x14ac:dyDescent="0.25">
      <c r="E309" s="57">
        <f t="shared" ref="E309:L314" si="113">E208-E246-E253-E260-E267-E274</f>
        <v>0</v>
      </c>
      <c r="F309" s="57">
        <f t="shared" si="113"/>
        <v>0</v>
      </c>
      <c r="G309" s="57">
        <f t="shared" si="113"/>
        <v>0</v>
      </c>
      <c r="H309" s="57">
        <f t="shared" si="113"/>
        <v>0</v>
      </c>
      <c r="I309" s="57">
        <f t="shared" si="113"/>
        <v>0</v>
      </c>
      <c r="J309" s="57">
        <f t="shared" si="113"/>
        <v>0</v>
      </c>
      <c r="K309" s="57">
        <f t="shared" si="113"/>
        <v>0</v>
      </c>
      <c r="L309" s="57">
        <f t="shared" si="113"/>
        <v>0</v>
      </c>
    </row>
    <row r="310" spans="5:12" s="32" customFormat="1" x14ac:dyDescent="0.25">
      <c r="E310" s="57">
        <f t="shared" si="113"/>
        <v>0</v>
      </c>
      <c r="F310" s="57">
        <f t="shared" si="113"/>
        <v>0</v>
      </c>
      <c r="G310" s="57">
        <f t="shared" si="113"/>
        <v>0</v>
      </c>
      <c r="H310" s="57">
        <f t="shared" si="113"/>
        <v>0</v>
      </c>
      <c r="I310" s="57">
        <f t="shared" si="113"/>
        <v>0</v>
      </c>
      <c r="J310" s="57">
        <f t="shared" si="113"/>
        <v>0</v>
      </c>
      <c r="K310" s="57">
        <f t="shared" si="113"/>
        <v>0</v>
      </c>
      <c r="L310" s="57">
        <f t="shared" si="113"/>
        <v>0</v>
      </c>
    </row>
    <row r="311" spans="5:12" s="32" customFormat="1" x14ac:dyDescent="0.25">
      <c r="E311" s="57">
        <f t="shared" si="113"/>
        <v>-3.0649971449747682E-10</v>
      </c>
      <c r="F311" s="57">
        <f t="shared" si="113"/>
        <v>-4.7748471843078732E-12</v>
      </c>
      <c r="G311" s="57">
        <f t="shared" si="113"/>
        <v>-9.0722096501849592E-11</v>
      </c>
      <c r="H311" s="57">
        <f t="shared" si="113"/>
        <v>3.1604940886609256E-11</v>
      </c>
      <c r="I311" s="57">
        <f t="shared" si="113"/>
        <v>1.1823431123048067E-11</v>
      </c>
      <c r="J311" s="57">
        <f t="shared" si="113"/>
        <v>1.1823431123048067E-11</v>
      </c>
      <c r="K311" s="57">
        <f t="shared" si="113"/>
        <v>-2.7284841053187847E-12</v>
      </c>
      <c r="L311" s="57">
        <f t="shared" si="113"/>
        <v>-4.3655745685100555E-11</v>
      </c>
    </row>
    <row r="312" spans="5:12" s="32" customFormat="1" x14ac:dyDescent="0.25">
      <c r="E312" s="57">
        <f t="shared" si="113"/>
        <v>0</v>
      </c>
      <c r="F312" s="57">
        <f t="shared" si="113"/>
        <v>0</v>
      </c>
      <c r="G312" s="57">
        <f t="shared" si="113"/>
        <v>0</v>
      </c>
      <c r="H312" s="57">
        <f t="shared" si="113"/>
        <v>0</v>
      </c>
      <c r="I312" s="57">
        <f t="shared" si="113"/>
        <v>0</v>
      </c>
      <c r="J312" s="57">
        <f t="shared" si="113"/>
        <v>0</v>
      </c>
      <c r="K312" s="57">
        <f t="shared" si="113"/>
        <v>0</v>
      </c>
      <c r="L312" s="57">
        <f t="shared" si="113"/>
        <v>0</v>
      </c>
    </row>
    <row r="313" spans="5:12" s="32" customFormat="1" x14ac:dyDescent="0.25">
      <c r="E313" s="57">
        <f t="shared" si="113"/>
        <v>0</v>
      </c>
      <c r="F313" s="57">
        <f t="shared" si="113"/>
        <v>0</v>
      </c>
      <c r="G313" s="57">
        <f t="shared" si="113"/>
        <v>0</v>
      </c>
      <c r="H313" s="57">
        <f t="shared" si="113"/>
        <v>0</v>
      </c>
      <c r="I313" s="57">
        <f t="shared" si="113"/>
        <v>0</v>
      </c>
      <c r="J313" s="57">
        <f t="shared" si="113"/>
        <v>0</v>
      </c>
      <c r="K313" s="57">
        <f t="shared" si="113"/>
        <v>0</v>
      </c>
      <c r="L313" s="57">
        <f t="shared" si="113"/>
        <v>0</v>
      </c>
    </row>
    <row r="314" spans="5:12" s="32" customFormat="1" x14ac:dyDescent="0.25">
      <c r="E314" s="57">
        <f t="shared" si="113"/>
        <v>-1.1641532182693481E-10</v>
      </c>
      <c r="F314" s="57">
        <f t="shared" si="113"/>
        <v>0</v>
      </c>
      <c r="G314" s="57">
        <f t="shared" si="113"/>
        <v>0</v>
      </c>
      <c r="H314" s="57">
        <f t="shared" si="113"/>
        <v>0</v>
      </c>
      <c r="I314" s="57">
        <f t="shared" si="113"/>
        <v>0</v>
      </c>
      <c r="J314" s="57">
        <f t="shared" si="113"/>
        <v>2.9103830456733704E-11</v>
      </c>
      <c r="K314" s="57">
        <f t="shared" si="113"/>
        <v>-1.4551915228366852E-11</v>
      </c>
      <c r="L314" s="57">
        <f t="shared" si="113"/>
        <v>-2.9103830456733704E-11</v>
      </c>
    </row>
    <row r="315" spans="5:12" s="32" customFormat="1" x14ac:dyDescent="0.25">
      <c r="E315" s="57"/>
      <c r="F315" s="57"/>
      <c r="G315" s="57"/>
      <c r="H315" s="57"/>
      <c r="I315" s="57"/>
      <c r="J315" s="57"/>
      <c r="K315" s="57"/>
      <c r="L315" s="57"/>
    </row>
    <row r="316" spans="5:12" s="32" customFormat="1" x14ac:dyDescent="0.25">
      <c r="E316" s="57"/>
      <c r="F316" s="57"/>
      <c r="G316" s="57"/>
      <c r="H316" s="57"/>
      <c r="I316" s="57"/>
      <c r="J316" s="57"/>
      <c r="K316" s="57"/>
      <c r="L316" s="57"/>
    </row>
    <row r="317" spans="5:12" s="32" customFormat="1" x14ac:dyDescent="0.25">
      <c r="E317" s="57">
        <f t="shared" ref="E317:L323" si="114">E207-E200-E164-E72</f>
        <v>0</v>
      </c>
      <c r="F317" s="57">
        <f t="shared" si="114"/>
        <v>0</v>
      </c>
      <c r="G317" s="57">
        <f t="shared" si="114"/>
        <v>0</v>
      </c>
      <c r="H317" s="57">
        <f t="shared" si="114"/>
        <v>0</v>
      </c>
      <c r="I317" s="57">
        <f t="shared" si="114"/>
        <v>0</v>
      </c>
      <c r="J317" s="57">
        <f t="shared" si="114"/>
        <v>0</v>
      </c>
      <c r="K317" s="57">
        <f t="shared" si="114"/>
        <v>0</v>
      </c>
      <c r="L317" s="57">
        <f t="shared" si="114"/>
        <v>4.6566128730773926E-10</v>
      </c>
    </row>
    <row r="318" spans="5:12" s="32" customFormat="1" x14ac:dyDescent="0.25">
      <c r="E318" s="57">
        <f t="shared" si="114"/>
        <v>0</v>
      </c>
      <c r="F318" s="57">
        <f t="shared" si="114"/>
        <v>0</v>
      </c>
      <c r="G318" s="57">
        <f t="shared" si="114"/>
        <v>0</v>
      </c>
      <c r="H318" s="57">
        <f t="shared" si="114"/>
        <v>0</v>
      </c>
      <c r="I318" s="57">
        <f t="shared" si="114"/>
        <v>0</v>
      </c>
      <c r="J318" s="57">
        <f t="shared" si="114"/>
        <v>0</v>
      </c>
      <c r="K318" s="57">
        <f t="shared" si="114"/>
        <v>0</v>
      </c>
      <c r="L318" s="57">
        <f t="shared" si="114"/>
        <v>0</v>
      </c>
    </row>
    <row r="319" spans="5:12" s="32" customFormat="1" x14ac:dyDescent="0.25">
      <c r="E319" s="57">
        <f t="shared" si="114"/>
        <v>0</v>
      </c>
      <c r="F319" s="57">
        <f t="shared" si="114"/>
        <v>0</v>
      </c>
      <c r="G319" s="57">
        <f t="shared" si="114"/>
        <v>0</v>
      </c>
      <c r="H319" s="57">
        <f t="shared" si="114"/>
        <v>0</v>
      </c>
      <c r="I319" s="57">
        <f t="shared" si="114"/>
        <v>0</v>
      </c>
      <c r="J319" s="57">
        <f t="shared" si="114"/>
        <v>0</v>
      </c>
      <c r="K319" s="57">
        <f t="shared" si="114"/>
        <v>0</v>
      </c>
      <c r="L319" s="57">
        <f t="shared" si="114"/>
        <v>0</v>
      </c>
    </row>
    <row r="320" spans="5:12" s="32" customFormat="1" x14ac:dyDescent="0.25">
      <c r="E320" s="57">
        <f t="shared" si="114"/>
        <v>-1.0477378964424133E-9</v>
      </c>
      <c r="F320" s="57">
        <f t="shared" si="114"/>
        <v>0</v>
      </c>
      <c r="G320" s="57">
        <f t="shared" si="114"/>
        <v>0</v>
      </c>
      <c r="H320" s="57">
        <f t="shared" si="114"/>
        <v>0</v>
      </c>
      <c r="I320" s="57">
        <f t="shared" si="114"/>
        <v>0</v>
      </c>
      <c r="J320" s="57">
        <f t="shared" si="114"/>
        <v>-5.9117155615240335E-12</v>
      </c>
      <c r="K320" s="57">
        <f t="shared" si="114"/>
        <v>0</v>
      </c>
      <c r="L320" s="57">
        <f t="shared" si="114"/>
        <v>0</v>
      </c>
    </row>
    <row r="321" spans="3:12" s="32" customFormat="1" x14ac:dyDescent="0.25">
      <c r="E321" s="57">
        <f t="shared" si="114"/>
        <v>0</v>
      </c>
      <c r="F321" s="57">
        <f t="shared" si="114"/>
        <v>0</v>
      </c>
      <c r="G321" s="57">
        <f t="shared" si="114"/>
        <v>0</v>
      </c>
      <c r="H321" s="57">
        <f t="shared" si="114"/>
        <v>0</v>
      </c>
      <c r="I321" s="57">
        <f t="shared" si="114"/>
        <v>0</v>
      </c>
      <c r="J321" s="57">
        <f t="shared" si="114"/>
        <v>0</v>
      </c>
      <c r="K321" s="57">
        <f t="shared" si="114"/>
        <v>0</v>
      </c>
      <c r="L321" s="57">
        <f t="shared" si="114"/>
        <v>0</v>
      </c>
    </row>
    <row r="322" spans="3:12" s="32" customFormat="1" x14ac:dyDescent="0.25">
      <c r="E322" s="57">
        <f t="shared" si="114"/>
        <v>0</v>
      </c>
      <c r="F322" s="57">
        <f t="shared" si="114"/>
        <v>0</v>
      </c>
      <c r="G322" s="57">
        <f t="shared" si="114"/>
        <v>0</v>
      </c>
      <c r="H322" s="57">
        <f t="shared" si="114"/>
        <v>0</v>
      </c>
      <c r="I322" s="57">
        <f t="shared" si="114"/>
        <v>0</v>
      </c>
      <c r="J322" s="57">
        <f t="shared" si="114"/>
        <v>0</v>
      </c>
      <c r="K322" s="57">
        <f t="shared" si="114"/>
        <v>0</v>
      </c>
      <c r="L322" s="57">
        <f t="shared" si="114"/>
        <v>0</v>
      </c>
    </row>
    <row r="323" spans="3:12" s="32" customFormat="1" x14ac:dyDescent="0.25">
      <c r="E323" s="57">
        <f t="shared" si="114"/>
        <v>0</v>
      </c>
      <c r="F323" s="57">
        <f t="shared" si="114"/>
        <v>0</v>
      </c>
      <c r="G323" s="57">
        <f t="shared" si="114"/>
        <v>0</v>
      </c>
      <c r="H323" s="57">
        <f t="shared" si="114"/>
        <v>0</v>
      </c>
      <c r="I323" s="57">
        <f t="shared" si="114"/>
        <v>0</v>
      </c>
      <c r="J323" s="57">
        <f t="shared" si="114"/>
        <v>0</v>
      </c>
      <c r="K323" s="57">
        <f t="shared" si="114"/>
        <v>-2.9103830456733704E-11</v>
      </c>
      <c r="L323" s="57">
        <f t="shared" si="114"/>
        <v>0</v>
      </c>
    </row>
    <row r="324" spans="3:12" s="32" customFormat="1" x14ac:dyDescent="0.25">
      <c r="E324" s="57"/>
      <c r="F324" s="57"/>
      <c r="G324" s="57"/>
      <c r="H324" s="57"/>
      <c r="I324" s="57"/>
      <c r="J324" s="57"/>
      <c r="K324" s="57"/>
      <c r="L324" s="57"/>
    </row>
    <row r="325" spans="3:12" s="32" customFormat="1" x14ac:dyDescent="0.25">
      <c r="C325" s="32" t="s">
        <v>168</v>
      </c>
      <c r="D325" s="32" t="s">
        <v>164</v>
      </c>
      <c r="E325" s="57"/>
      <c r="F325" s="57"/>
      <c r="G325" s="57"/>
      <c r="H325" s="57"/>
      <c r="I325" s="57"/>
      <c r="J325" s="57"/>
      <c r="K325" s="57"/>
      <c r="L325" s="57"/>
    </row>
    <row r="326" spans="3:12" s="32" customFormat="1" x14ac:dyDescent="0.25">
      <c r="D326" s="32" t="s">
        <v>166</v>
      </c>
      <c r="E326" s="58">
        <f>SUM(F326:L326)</f>
        <v>8381.4000000000015</v>
      </c>
      <c r="F326" s="57">
        <v>13.6</v>
      </c>
      <c r="G326" s="57"/>
      <c r="H326" s="57"/>
      <c r="I326" s="57">
        <v>5082.6000000000004</v>
      </c>
      <c r="J326" s="57">
        <v>3202.6</v>
      </c>
      <c r="K326" s="57">
        <v>82.6</v>
      </c>
      <c r="L326" s="57">
        <v>0</v>
      </c>
    </row>
    <row r="327" spans="3:12" s="32" customFormat="1" x14ac:dyDescent="0.25">
      <c r="D327" s="32" t="s">
        <v>165</v>
      </c>
      <c r="E327" s="58">
        <f t="shared" ref="E327:E328" si="115">SUM(F327:L327)</f>
        <v>20029.077269999998</v>
      </c>
      <c r="F327" s="57">
        <v>6558.7772699999996</v>
      </c>
      <c r="G327" s="57">
        <v>4891.5</v>
      </c>
      <c r="H327" s="57">
        <v>753.9</v>
      </c>
      <c r="I327" s="57">
        <v>903.6</v>
      </c>
      <c r="J327" s="57">
        <v>5535.1</v>
      </c>
      <c r="K327" s="57">
        <v>1386.2</v>
      </c>
      <c r="L327" s="57">
        <v>0</v>
      </c>
    </row>
    <row r="328" spans="3:12" s="32" customFormat="1" x14ac:dyDescent="0.25">
      <c r="D328" s="32" t="s">
        <v>167</v>
      </c>
      <c r="E328" s="58">
        <f t="shared" si="115"/>
        <v>4701758.3981999997</v>
      </c>
      <c r="F328" s="57">
        <v>671049.72846999997</v>
      </c>
      <c r="G328" s="57">
        <v>691967.74146000005</v>
      </c>
      <c r="H328" s="57">
        <v>681855.33291999996</v>
      </c>
      <c r="I328" s="57">
        <f>400643.33581+I262+I269</f>
        <v>424188.66347000003</v>
      </c>
      <c r="J328" s="57">
        <v>294616.26835999999</v>
      </c>
      <c r="K328" s="57">
        <v>276911.52335999999</v>
      </c>
      <c r="L328" s="57">
        <v>1661169.14016</v>
      </c>
    </row>
    <row r="329" spans="3:12" s="32" customFormat="1" x14ac:dyDescent="0.25">
      <c r="E329" s="58"/>
      <c r="F329" s="57"/>
      <c r="G329" s="57"/>
      <c r="H329" s="57"/>
      <c r="I329" s="57"/>
      <c r="J329" s="57"/>
      <c r="K329" s="57"/>
      <c r="L329" s="57"/>
    </row>
    <row r="330" spans="3:12" s="32" customFormat="1" x14ac:dyDescent="0.25">
      <c r="E330" s="58"/>
      <c r="F330" s="57"/>
      <c r="G330" s="57"/>
      <c r="H330" s="57"/>
      <c r="I330" s="57"/>
      <c r="J330" s="57"/>
      <c r="K330" s="57"/>
      <c r="L330" s="57"/>
    </row>
    <row r="331" spans="3:12" s="32" customFormat="1" x14ac:dyDescent="0.25">
      <c r="C331" s="32" t="s">
        <v>169</v>
      </c>
      <c r="D331" s="32" t="s">
        <v>164</v>
      </c>
      <c r="E331" s="59"/>
      <c r="F331" s="59"/>
      <c r="G331" s="59"/>
      <c r="H331" s="59"/>
      <c r="I331" s="59"/>
      <c r="J331" s="59"/>
      <c r="K331" s="59"/>
      <c r="L331" s="59"/>
    </row>
    <row r="332" spans="3:12" s="32" customFormat="1" x14ac:dyDescent="0.25">
      <c r="D332" s="32" t="s">
        <v>166</v>
      </c>
      <c r="E332" s="59">
        <f t="shared" ref="E332:L334" si="116">E208-E326</f>
        <v>50.899999999999636</v>
      </c>
      <c r="F332" s="59">
        <f t="shared" si="116"/>
        <v>0</v>
      </c>
      <c r="G332" s="59">
        <f t="shared" si="116"/>
        <v>0</v>
      </c>
      <c r="H332" s="59">
        <f t="shared" si="116"/>
        <v>50.9</v>
      </c>
      <c r="I332" s="59">
        <f t="shared" si="116"/>
        <v>0</v>
      </c>
      <c r="J332" s="59">
        <f t="shared" si="116"/>
        <v>0</v>
      </c>
      <c r="K332" s="59">
        <f t="shared" si="116"/>
        <v>0</v>
      </c>
      <c r="L332" s="59">
        <f t="shared" si="116"/>
        <v>0</v>
      </c>
    </row>
    <row r="333" spans="3:12" s="32" customFormat="1" x14ac:dyDescent="0.25">
      <c r="D333" s="32" t="s">
        <v>165</v>
      </c>
      <c r="E333" s="59">
        <f t="shared" si="116"/>
        <v>118.76729000000341</v>
      </c>
      <c r="F333" s="59">
        <f t="shared" si="116"/>
        <v>0</v>
      </c>
      <c r="G333" s="59">
        <f t="shared" si="116"/>
        <v>0</v>
      </c>
      <c r="H333" s="59">
        <f t="shared" si="116"/>
        <v>118.76729</v>
      </c>
      <c r="I333" s="59">
        <f t="shared" si="116"/>
        <v>0</v>
      </c>
      <c r="J333" s="59">
        <f t="shared" si="116"/>
        <v>0</v>
      </c>
      <c r="K333" s="59">
        <f t="shared" si="116"/>
        <v>0</v>
      </c>
      <c r="L333" s="59">
        <f t="shared" si="116"/>
        <v>0</v>
      </c>
    </row>
    <row r="334" spans="3:12" s="32" customFormat="1" x14ac:dyDescent="0.25">
      <c r="D334" s="32" t="s">
        <v>167</v>
      </c>
      <c r="E334" s="59">
        <f t="shared" si="116"/>
        <v>-666.39879000000656</v>
      </c>
      <c r="F334" s="59">
        <f t="shared" si="116"/>
        <v>0</v>
      </c>
      <c r="G334" s="59">
        <f t="shared" si="116"/>
        <v>0</v>
      </c>
      <c r="H334" s="59">
        <f t="shared" si="116"/>
        <v>-666.39879000000656</v>
      </c>
      <c r="I334" s="59">
        <f t="shared" si="116"/>
        <v>0</v>
      </c>
      <c r="J334" s="59">
        <f t="shared" si="116"/>
        <v>0</v>
      </c>
      <c r="K334" s="59">
        <f t="shared" si="116"/>
        <v>0</v>
      </c>
      <c r="L334" s="59">
        <f t="shared" si="116"/>
        <v>0</v>
      </c>
    </row>
    <row r="335" spans="3:12" s="32" customFormat="1" x14ac:dyDescent="0.25">
      <c r="E335" s="60"/>
      <c r="F335" s="60"/>
      <c r="G335" s="60"/>
      <c r="H335" s="60"/>
      <c r="I335" s="60"/>
      <c r="J335" s="60"/>
      <c r="K335" s="60"/>
      <c r="L335" s="60"/>
    </row>
    <row r="336" spans="3:12" s="32" customFormat="1" x14ac:dyDescent="0.25">
      <c r="E336" s="61"/>
      <c r="F336" s="61"/>
      <c r="G336" s="61"/>
      <c r="H336" s="61"/>
      <c r="I336" s="61"/>
      <c r="J336" s="61"/>
      <c r="K336" s="61"/>
      <c r="L336" s="61"/>
    </row>
    <row r="337" spans="1:12" x14ac:dyDescent="0.25">
      <c r="E337" s="61"/>
      <c r="F337" s="61"/>
      <c r="G337" s="61"/>
      <c r="H337" s="61"/>
      <c r="I337" s="61"/>
      <c r="J337" s="61"/>
      <c r="K337" s="61"/>
      <c r="L337" s="61"/>
    </row>
    <row r="343" spans="1:12" ht="31.5" x14ac:dyDescent="0.25">
      <c r="A343" s="65" t="s">
        <v>75</v>
      </c>
      <c r="B343" s="66" t="s">
        <v>171</v>
      </c>
    </row>
    <row r="344" spans="1:12" ht="31.5" x14ac:dyDescent="0.25">
      <c r="A344" s="65" t="s">
        <v>172</v>
      </c>
      <c r="B344" s="72">
        <f>I208</f>
        <v>5082.6000000000004</v>
      </c>
    </row>
    <row r="345" spans="1:12" ht="63" x14ac:dyDescent="0.25">
      <c r="A345" s="67" t="s">
        <v>173</v>
      </c>
      <c r="B345" s="72">
        <f t="shared" ref="B345:B346" si="117">I209</f>
        <v>903.59999999999991</v>
      </c>
    </row>
    <row r="346" spans="1:12" ht="78.75" x14ac:dyDescent="0.25">
      <c r="A346" s="67" t="s">
        <v>174</v>
      </c>
      <c r="B346" s="72">
        <f t="shared" si="117"/>
        <v>424188.66347000003</v>
      </c>
    </row>
    <row r="347" spans="1:12" ht="15.75" x14ac:dyDescent="0.25">
      <c r="A347" s="67" t="s">
        <v>175</v>
      </c>
      <c r="B347" s="72">
        <f>I213</f>
        <v>550155.31357</v>
      </c>
    </row>
    <row r="353" s="32" customFormat="1" x14ac:dyDescent="0.25"/>
    <row r="354" s="32" customFormat="1" x14ac:dyDescent="0.25"/>
    <row r="355" s="32" customFormat="1" x14ac:dyDescent="0.25"/>
    <row r="356" s="32" customFormat="1" x14ac:dyDescent="0.25"/>
    <row r="357" s="32" customFormat="1" x14ac:dyDescent="0.25"/>
    <row r="358" s="32" customFormat="1" x14ac:dyDescent="0.25"/>
    <row r="359" s="32" customFormat="1" x14ac:dyDescent="0.25"/>
    <row r="360" s="32" customFormat="1" x14ac:dyDescent="0.25"/>
    <row r="361" s="32" customFormat="1" x14ac:dyDescent="0.25"/>
    <row r="362" s="32" customFormat="1" x14ac:dyDescent="0.25"/>
    <row r="363" s="32" customFormat="1" x14ac:dyDescent="0.25"/>
    <row r="364" s="32" customFormat="1" x14ac:dyDescent="0.25"/>
    <row r="365" s="32" customFormat="1" x14ac:dyDescent="0.25"/>
    <row r="366" s="32" customFormat="1" x14ac:dyDescent="0.25"/>
    <row r="367" s="32" customFormat="1" x14ac:dyDescent="0.25"/>
    <row r="368" s="32" customFormat="1" x14ac:dyDescent="0.25"/>
    <row r="369" s="32" customFormat="1" x14ac:dyDescent="0.25"/>
    <row r="370" s="32" customFormat="1" x14ac:dyDescent="0.25"/>
    <row r="371" s="32" customFormat="1" x14ac:dyDescent="0.25"/>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10</vt:i4>
      </vt:variant>
    </vt:vector>
  </HeadingPairs>
  <TitlesOfParts>
    <vt:vector size="20" baseType="lpstr">
      <vt:lpstr>таблица 1</vt:lpstr>
      <vt:lpstr>таблица 2 </vt:lpstr>
      <vt:lpstr>таблица 3</vt:lpstr>
      <vt:lpstr>таблица 4</vt:lpstr>
      <vt:lpstr>Таблица 5</vt:lpstr>
      <vt:lpstr>Таблица 6</vt:lpstr>
      <vt:lpstr>таблица 7</vt:lpstr>
      <vt:lpstr>таблица 8 </vt:lpstr>
      <vt:lpstr>пост 2372 от 30.12.2022</vt:lpstr>
      <vt:lpstr>2022 год</vt:lpstr>
      <vt:lpstr>'таблица 8 '!_ftnref1</vt:lpstr>
      <vt:lpstr>'таблица 2 '!_Hlk67922527</vt:lpstr>
      <vt:lpstr>'таблица 2 '!_Hlk67925744</vt:lpstr>
      <vt:lpstr>'таблица 2 '!_Hlk68618498</vt:lpstr>
      <vt:lpstr>'таблица 2 '!_Hlk69889099</vt:lpstr>
      <vt:lpstr>'таблица 2 '!_Hlk69889156</vt:lpstr>
      <vt:lpstr>'таблица 2 '!Заголовки_для_печати</vt:lpstr>
      <vt:lpstr>'таблица 1'!Область_печати</vt:lpstr>
      <vt:lpstr>'таблица 2 '!Область_печати</vt:lpstr>
      <vt:lpstr>'таблица 8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obmen</dc:creator>
  <cp:lastModifiedBy>user</cp:lastModifiedBy>
  <cp:lastPrinted>2023-02-06T06:05:58Z</cp:lastPrinted>
  <dcterms:created xsi:type="dcterms:W3CDTF">2021-11-09T04:45:45Z</dcterms:created>
  <dcterms:modified xsi:type="dcterms:W3CDTF">2023-02-14T04:00:21Z</dcterms:modified>
</cp:coreProperties>
</file>