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-120" yWindow="-120" windowWidth="29040" windowHeight="15840" firstSheet="2" activeTab="2"/>
  </bookViews>
  <sheets>
    <sheet name="07.2019 с выделением" sheetId="19" state="hidden" r:id="rId1"/>
    <sheet name="07.2019 (2)" sheetId="20" state="hidden" r:id="rId2"/>
    <sheet name="11.04.2022" sheetId="21" r:id="rId3"/>
  </sheets>
  <definedNames>
    <definedName name="_xlnm.Print_Titles" localSheetId="2">'11.04.2022'!$8:$9</definedName>
    <definedName name="_xlnm.Print_Area" localSheetId="1">'07.2019 (2)'!$A$1:$Q$97</definedName>
    <definedName name="_xlnm.Print_Area" localSheetId="0">'07.2019 с выделением'!$A$1:$Q$97</definedName>
    <definedName name="_xlnm.Print_Area" localSheetId="2">'11.04.2022'!$A$1:$Q$189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5" i="21" l="1"/>
  <c r="K175" i="21"/>
  <c r="L175" i="21"/>
  <c r="M175" i="21"/>
  <c r="N175" i="21"/>
  <c r="O175" i="21"/>
  <c r="P175" i="21"/>
  <c r="Q175" i="21"/>
  <c r="I175" i="21"/>
  <c r="H175" i="21"/>
  <c r="G175" i="21"/>
  <c r="F175" i="21"/>
  <c r="F173" i="21"/>
  <c r="G173" i="21"/>
  <c r="Q98" i="21"/>
  <c r="G98" i="21"/>
  <c r="H98" i="21"/>
  <c r="I98" i="21"/>
  <c r="J98" i="21"/>
  <c r="K98" i="21"/>
  <c r="L98" i="21"/>
  <c r="M98" i="21"/>
  <c r="N98" i="21"/>
  <c r="O98" i="21"/>
  <c r="P98" i="21"/>
  <c r="F98" i="21"/>
  <c r="E98" i="21"/>
  <c r="E175" i="21" l="1"/>
  <c r="Q178" i="21"/>
  <c r="E178" i="21" s="1"/>
  <c r="K28" i="21" l="1"/>
  <c r="M161" i="21" l="1"/>
  <c r="M77" i="21"/>
  <c r="L77" i="21"/>
  <c r="Q28" i="21"/>
  <c r="P28" i="21"/>
  <c r="O28" i="21"/>
  <c r="N28" i="21"/>
  <c r="M28" i="21"/>
  <c r="L28" i="21"/>
  <c r="J28" i="21"/>
  <c r="I28" i="21"/>
  <c r="H28" i="21" l="1"/>
  <c r="P14" i="21"/>
  <c r="Q14" i="21"/>
  <c r="O14" i="21"/>
  <c r="N14" i="21"/>
  <c r="M14" i="21"/>
  <c r="L14" i="21"/>
  <c r="K14" i="21"/>
  <c r="J14" i="21"/>
  <c r="I14" i="21"/>
  <c r="E35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F14" i="21"/>
  <c r="E32" i="21" l="1"/>
  <c r="H47" i="21"/>
  <c r="Q70" i="21" l="1"/>
  <c r="P70" i="21"/>
  <c r="O70" i="21"/>
  <c r="N70" i="21"/>
  <c r="M70" i="21"/>
  <c r="L70" i="21"/>
  <c r="K70" i="21"/>
  <c r="J70" i="21"/>
  <c r="I70" i="21"/>
  <c r="Q21" i="21" l="1"/>
  <c r="P21" i="21"/>
  <c r="O21" i="21"/>
  <c r="N21" i="21"/>
  <c r="M21" i="21"/>
  <c r="L21" i="21"/>
  <c r="K21" i="21"/>
  <c r="J21" i="21"/>
  <c r="I21" i="21"/>
  <c r="F172" i="21" l="1"/>
  <c r="H173" i="21" l="1"/>
  <c r="I173" i="21"/>
  <c r="J173" i="21"/>
  <c r="K173" i="21"/>
  <c r="L173" i="21"/>
  <c r="M173" i="21"/>
  <c r="N173" i="21"/>
  <c r="O173" i="21"/>
  <c r="P173" i="21"/>
  <c r="Q173" i="21"/>
  <c r="G174" i="21"/>
  <c r="H174" i="21"/>
  <c r="I174" i="21"/>
  <c r="J174" i="21"/>
  <c r="K174" i="21"/>
  <c r="L174" i="21"/>
  <c r="M174" i="21"/>
  <c r="N174" i="21"/>
  <c r="O174" i="21"/>
  <c r="P174" i="21"/>
  <c r="Q174" i="21"/>
  <c r="F174" i="21"/>
  <c r="F28" i="21" l="1"/>
  <c r="F25" i="21" s="1"/>
  <c r="Q25" i="21"/>
  <c r="P25" i="21"/>
  <c r="O25" i="21"/>
  <c r="N25" i="21"/>
  <c r="M25" i="21"/>
  <c r="L25" i="21"/>
  <c r="K25" i="21"/>
  <c r="J25" i="21"/>
  <c r="I25" i="21"/>
  <c r="H25" i="21"/>
  <c r="G25" i="21"/>
  <c r="S25" i="21"/>
  <c r="R25" i="21"/>
  <c r="E28" i="21"/>
  <c r="E25" i="21" l="1"/>
  <c r="S55" i="21"/>
  <c r="S62" i="21"/>
  <c r="S61" i="21"/>
  <c r="J62" i="21"/>
  <c r="N62" i="21"/>
  <c r="H62" i="21"/>
  <c r="K62" i="21"/>
  <c r="G61" i="21"/>
  <c r="S154" i="21" l="1"/>
  <c r="S105" i="21"/>
  <c r="H14" i="21"/>
  <c r="G14" i="21"/>
  <c r="S69" i="21"/>
  <c r="H21" i="21"/>
  <c r="G21" i="21"/>
  <c r="F21" i="21"/>
  <c r="F61" i="21" l="1"/>
  <c r="M150" i="21" l="1"/>
  <c r="E54" i="21" l="1"/>
  <c r="E55" i="21"/>
  <c r="E56" i="21"/>
  <c r="E57" i="21"/>
  <c r="E58" i="21"/>
  <c r="E59" i="21"/>
  <c r="G53" i="21"/>
  <c r="H53" i="21"/>
  <c r="I53" i="21"/>
  <c r="J53" i="21"/>
  <c r="K53" i="21"/>
  <c r="L53" i="21"/>
  <c r="M53" i="21"/>
  <c r="N53" i="21"/>
  <c r="O53" i="21"/>
  <c r="P53" i="21"/>
  <c r="Q53" i="21"/>
  <c r="F53" i="21"/>
  <c r="E53" i="21" l="1"/>
  <c r="P24" i="21" l="1"/>
  <c r="O24" i="21"/>
  <c r="N24" i="21"/>
  <c r="M24" i="21"/>
  <c r="L24" i="21"/>
  <c r="F11" i="21" l="1"/>
  <c r="G11" i="21"/>
  <c r="H11" i="21"/>
  <c r="I11" i="21"/>
  <c r="J11" i="21"/>
  <c r="K11" i="21"/>
  <c r="L11" i="21"/>
  <c r="M11" i="21"/>
  <c r="N11" i="21"/>
  <c r="O11" i="21"/>
  <c r="P11" i="21"/>
  <c r="Q11" i="21"/>
  <c r="E12" i="21"/>
  <c r="E13" i="21"/>
  <c r="E14" i="21"/>
  <c r="S14" i="21" s="1"/>
  <c r="E15" i="21"/>
  <c r="E16" i="21"/>
  <c r="E17" i="21"/>
  <c r="F18" i="21"/>
  <c r="G18" i="21"/>
  <c r="H18" i="21"/>
  <c r="I18" i="21"/>
  <c r="J18" i="21"/>
  <c r="K18" i="21"/>
  <c r="L18" i="21"/>
  <c r="M18" i="21"/>
  <c r="N18" i="21"/>
  <c r="O18" i="21"/>
  <c r="P18" i="21"/>
  <c r="E19" i="21"/>
  <c r="E20" i="21"/>
  <c r="E21" i="21"/>
  <c r="S21" i="21" s="1"/>
  <c r="E22" i="21"/>
  <c r="E23" i="21"/>
  <c r="Q18" i="21"/>
  <c r="E11" i="21" l="1"/>
  <c r="E24" i="21"/>
  <c r="E18" i="21"/>
  <c r="F97" i="21" l="1"/>
  <c r="F99" i="21"/>
  <c r="F176" i="21" s="1"/>
  <c r="F100" i="21"/>
  <c r="F177" i="21" s="1"/>
  <c r="F101" i="21"/>
  <c r="F178" i="21" s="1"/>
  <c r="F96" i="21"/>
  <c r="P165" i="21" l="1"/>
  <c r="O165" i="21"/>
  <c r="N165" i="21"/>
  <c r="M165" i="21"/>
  <c r="L165" i="21"/>
  <c r="K165" i="21"/>
  <c r="J165" i="21"/>
  <c r="I165" i="21"/>
  <c r="H165" i="21"/>
  <c r="G165" i="21"/>
  <c r="F165" i="21"/>
  <c r="Q158" i="21"/>
  <c r="P158" i="21"/>
  <c r="O158" i="21"/>
  <c r="N158" i="21"/>
  <c r="M158" i="21"/>
  <c r="L158" i="21"/>
  <c r="K158" i="21"/>
  <c r="J158" i="21"/>
  <c r="I158" i="21"/>
  <c r="H158" i="21"/>
  <c r="G158" i="21"/>
  <c r="F158" i="21"/>
  <c r="E158" i="21" s="1"/>
  <c r="Q151" i="21"/>
  <c r="P151" i="21"/>
  <c r="O151" i="21"/>
  <c r="N151" i="21"/>
  <c r="M151" i="21"/>
  <c r="L151" i="21"/>
  <c r="K151" i="21"/>
  <c r="J151" i="21"/>
  <c r="I151" i="21"/>
  <c r="H151" i="21"/>
  <c r="G151" i="21"/>
  <c r="F151" i="21"/>
  <c r="Q144" i="21"/>
  <c r="P144" i="21"/>
  <c r="O144" i="21"/>
  <c r="N144" i="21"/>
  <c r="M144" i="21"/>
  <c r="L144" i="21"/>
  <c r="K144" i="21"/>
  <c r="J144" i="21"/>
  <c r="I144" i="21"/>
  <c r="H144" i="21"/>
  <c r="G144" i="21"/>
  <c r="F144" i="21"/>
  <c r="Q137" i="21"/>
  <c r="P137" i="21"/>
  <c r="O137" i="21"/>
  <c r="N137" i="21"/>
  <c r="M137" i="21"/>
  <c r="L137" i="21"/>
  <c r="K137" i="21"/>
  <c r="J137" i="21"/>
  <c r="I137" i="21"/>
  <c r="H137" i="21"/>
  <c r="G137" i="21"/>
  <c r="F137" i="21"/>
  <c r="Q130" i="21"/>
  <c r="P130" i="21"/>
  <c r="O130" i="21"/>
  <c r="N130" i="21"/>
  <c r="M130" i="21"/>
  <c r="L130" i="21"/>
  <c r="K130" i="21"/>
  <c r="J130" i="21"/>
  <c r="I130" i="21"/>
  <c r="H130" i="21"/>
  <c r="G130" i="21"/>
  <c r="F130" i="21"/>
  <c r="Q123" i="21"/>
  <c r="P123" i="21"/>
  <c r="O123" i="21"/>
  <c r="N123" i="21"/>
  <c r="M123" i="21"/>
  <c r="L123" i="21"/>
  <c r="K123" i="21"/>
  <c r="J123" i="21"/>
  <c r="I123" i="21"/>
  <c r="H123" i="21"/>
  <c r="G123" i="21"/>
  <c r="F123" i="21"/>
  <c r="Q116" i="21"/>
  <c r="P116" i="21"/>
  <c r="O116" i="21"/>
  <c r="N116" i="21"/>
  <c r="M116" i="21"/>
  <c r="L116" i="21"/>
  <c r="K116" i="21"/>
  <c r="J116" i="21"/>
  <c r="I116" i="21"/>
  <c r="H116" i="21"/>
  <c r="G116" i="21"/>
  <c r="F116" i="21"/>
  <c r="Q109" i="21"/>
  <c r="P109" i="21"/>
  <c r="O109" i="21"/>
  <c r="N109" i="21"/>
  <c r="M109" i="21"/>
  <c r="L109" i="21"/>
  <c r="K109" i="21"/>
  <c r="J109" i="21"/>
  <c r="I109" i="21"/>
  <c r="H109" i="21"/>
  <c r="G109" i="21"/>
  <c r="F109" i="21"/>
  <c r="Q102" i="21"/>
  <c r="P102" i="21"/>
  <c r="O102" i="21"/>
  <c r="N102" i="21"/>
  <c r="M102" i="21"/>
  <c r="L102" i="21"/>
  <c r="K102" i="21"/>
  <c r="J102" i="21"/>
  <c r="I102" i="21"/>
  <c r="H102" i="21"/>
  <c r="G102" i="21"/>
  <c r="F102" i="21"/>
  <c r="F95" i="21"/>
  <c r="Q88" i="21"/>
  <c r="P88" i="21"/>
  <c r="O88" i="21"/>
  <c r="N88" i="21"/>
  <c r="M88" i="21"/>
  <c r="L88" i="21"/>
  <c r="K88" i="21"/>
  <c r="J88" i="21"/>
  <c r="I88" i="21"/>
  <c r="H88" i="21"/>
  <c r="G88" i="21"/>
  <c r="F88" i="21"/>
  <c r="Q81" i="21"/>
  <c r="P81" i="21"/>
  <c r="O81" i="21"/>
  <c r="N81" i="21"/>
  <c r="M81" i="21"/>
  <c r="L81" i="21"/>
  <c r="K81" i="21"/>
  <c r="J81" i="21"/>
  <c r="I81" i="21"/>
  <c r="H81" i="21"/>
  <c r="G81" i="21"/>
  <c r="F81" i="21"/>
  <c r="Q74" i="21"/>
  <c r="P74" i="21"/>
  <c r="O74" i="21"/>
  <c r="N74" i="21"/>
  <c r="M74" i="21"/>
  <c r="L74" i="21"/>
  <c r="K74" i="21"/>
  <c r="J74" i="21"/>
  <c r="I74" i="21"/>
  <c r="H74" i="21"/>
  <c r="G74" i="21"/>
  <c r="F74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170" i="21"/>
  <c r="E169" i="21"/>
  <c r="E168" i="21"/>
  <c r="E167" i="21"/>
  <c r="E166" i="21"/>
  <c r="E164" i="21"/>
  <c r="E163" i="21"/>
  <c r="E162" i="21"/>
  <c r="E161" i="21"/>
  <c r="S161" i="21" s="1"/>
  <c r="E160" i="21"/>
  <c r="E159" i="21"/>
  <c r="E157" i="21"/>
  <c r="E156" i="21"/>
  <c r="E155" i="21"/>
  <c r="E154" i="21"/>
  <c r="E153" i="21"/>
  <c r="E152" i="21"/>
  <c r="E150" i="21"/>
  <c r="E149" i="21"/>
  <c r="E148" i="21"/>
  <c r="E147" i="21"/>
  <c r="E146" i="21"/>
  <c r="E145" i="21"/>
  <c r="E143" i="21"/>
  <c r="E142" i="21"/>
  <c r="E141" i="21"/>
  <c r="E140" i="21"/>
  <c r="E139" i="21"/>
  <c r="E138" i="21"/>
  <c r="E136" i="21"/>
  <c r="E135" i="21"/>
  <c r="E134" i="21"/>
  <c r="E133" i="21"/>
  <c r="E132" i="21"/>
  <c r="E131" i="21"/>
  <c r="E129" i="21"/>
  <c r="E128" i="21"/>
  <c r="E127" i="21"/>
  <c r="E126" i="21"/>
  <c r="E125" i="21"/>
  <c r="E124" i="21"/>
  <c r="E122" i="21"/>
  <c r="E121" i="21"/>
  <c r="E120" i="21"/>
  <c r="E119" i="21"/>
  <c r="E118" i="21"/>
  <c r="E117" i="21"/>
  <c r="E115" i="21"/>
  <c r="E114" i="21"/>
  <c r="E113" i="21"/>
  <c r="E112" i="21"/>
  <c r="E111" i="21"/>
  <c r="E110" i="21"/>
  <c r="E108" i="21"/>
  <c r="E107" i="21"/>
  <c r="E106" i="21"/>
  <c r="E105" i="21"/>
  <c r="E104" i="21"/>
  <c r="E103" i="21"/>
  <c r="E94" i="21"/>
  <c r="E93" i="21"/>
  <c r="E92" i="21"/>
  <c r="E91" i="21"/>
  <c r="E90" i="21"/>
  <c r="E89" i="21"/>
  <c r="E87" i="21"/>
  <c r="E86" i="21"/>
  <c r="E85" i="21"/>
  <c r="E84" i="21"/>
  <c r="E80" i="21"/>
  <c r="E79" i="21"/>
  <c r="E78" i="21"/>
  <c r="E77" i="21"/>
  <c r="S77" i="21" s="1"/>
  <c r="E76" i="21"/>
  <c r="E75" i="21"/>
  <c r="E73" i="21"/>
  <c r="E72" i="21"/>
  <c r="E71" i="21"/>
  <c r="E70" i="21"/>
  <c r="S70" i="21" s="1"/>
  <c r="E69" i="21"/>
  <c r="E68" i="21"/>
  <c r="E66" i="21"/>
  <c r="E65" i="21"/>
  <c r="E64" i="21"/>
  <c r="E63" i="21"/>
  <c r="E62" i="21"/>
  <c r="E61" i="21"/>
  <c r="E52" i="21"/>
  <c r="E51" i="21"/>
  <c r="E50" i="21"/>
  <c r="E49" i="21"/>
  <c r="E48" i="21"/>
  <c r="S48" i="21" s="1"/>
  <c r="E47" i="21"/>
  <c r="S47" i="21" s="1"/>
  <c r="E45" i="21"/>
  <c r="E44" i="21"/>
  <c r="E43" i="21"/>
  <c r="E42" i="21"/>
  <c r="S42" i="21" s="1"/>
  <c r="E41" i="21"/>
  <c r="E40" i="21"/>
  <c r="E137" i="21" l="1"/>
  <c r="E67" i="21"/>
  <c r="E151" i="21"/>
  <c r="E109" i="21"/>
  <c r="E130" i="21"/>
  <c r="E123" i="21"/>
  <c r="E46" i="21"/>
  <c r="E74" i="21"/>
  <c r="E81" i="21"/>
  <c r="E102" i="21"/>
  <c r="E116" i="21"/>
  <c r="E144" i="21"/>
  <c r="E39" i="21"/>
  <c r="E60" i="21"/>
  <c r="E88" i="21"/>
  <c r="G99" i="21" l="1"/>
  <c r="G176" i="21" s="1"/>
  <c r="H99" i="21"/>
  <c r="H176" i="21" s="1"/>
  <c r="I99" i="21"/>
  <c r="I176" i="21" s="1"/>
  <c r="J99" i="21"/>
  <c r="J176" i="21" s="1"/>
  <c r="K99" i="21"/>
  <c r="K176" i="21" s="1"/>
  <c r="L99" i="21"/>
  <c r="L176" i="21" s="1"/>
  <c r="M99" i="21"/>
  <c r="M176" i="21" s="1"/>
  <c r="N99" i="21"/>
  <c r="N176" i="21" s="1"/>
  <c r="O99" i="21"/>
  <c r="O176" i="21" s="1"/>
  <c r="P99" i="21"/>
  <c r="P176" i="21" s="1"/>
  <c r="Q99" i="21"/>
  <c r="Q176" i="21" s="1"/>
  <c r="E176" i="21" l="1"/>
  <c r="E99" i="21"/>
  <c r="G96" i="21" l="1"/>
  <c r="H96" i="21"/>
  <c r="I96" i="21"/>
  <c r="J96" i="21"/>
  <c r="K96" i="21"/>
  <c r="L96" i="21"/>
  <c r="M96" i="21"/>
  <c r="N96" i="21"/>
  <c r="O96" i="21"/>
  <c r="P96" i="21"/>
  <c r="Q96" i="21"/>
  <c r="G97" i="21"/>
  <c r="H97" i="21"/>
  <c r="I97" i="21"/>
  <c r="J97" i="21"/>
  <c r="K97" i="21"/>
  <c r="L97" i="21"/>
  <c r="M97" i="21"/>
  <c r="N97" i="21"/>
  <c r="O97" i="21"/>
  <c r="P97" i="21"/>
  <c r="Q97" i="21"/>
  <c r="G100" i="21"/>
  <c r="G177" i="21" s="1"/>
  <c r="H100" i="21"/>
  <c r="H177" i="21" s="1"/>
  <c r="I100" i="21"/>
  <c r="I177" i="21" s="1"/>
  <c r="J100" i="21"/>
  <c r="J177" i="21" s="1"/>
  <c r="K100" i="21"/>
  <c r="K177" i="21" s="1"/>
  <c r="L100" i="21"/>
  <c r="L177" i="21" s="1"/>
  <c r="M100" i="21"/>
  <c r="M177" i="21" s="1"/>
  <c r="N100" i="21"/>
  <c r="N177" i="21" s="1"/>
  <c r="O100" i="21"/>
  <c r="O177" i="21" s="1"/>
  <c r="P100" i="21"/>
  <c r="P177" i="21" s="1"/>
  <c r="Q100" i="21"/>
  <c r="Q177" i="21" s="1"/>
  <c r="G101" i="21"/>
  <c r="G178" i="21" s="1"/>
  <c r="H101" i="21"/>
  <c r="H178" i="21" s="1"/>
  <c r="I101" i="21"/>
  <c r="I178" i="21" s="1"/>
  <c r="J101" i="21"/>
  <c r="J178" i="21" s="1"/>
  <c r="K101" i="21"/>
  <c r="K178" i="21" s="1"/>
  <c r="L101" i="21"/>
  <c r="L178" i="21" s="1"/>
  <c r="M101" i="21"/>
  <c r="M178" i="21" s="1"/>
  <c r="N101" i="21"/>
  <c r="N178" i="21" s="1"/>
  <c r="O101" i="21"/>
  <c r="O178" i="21" s="1"/>
  <c r="P101" i="21"/>
  <c r="P178" i="21" s="1"/>
  <c r="Q101" i="21"/>
  <c r="E174" i="21" l="1"/>
  <c r="E97" i="21"/>
  <c r="N95" i="21"/>
  <c r="J95" i="21"/>
  <c r="E177" i="21"/>
  <c r="E100" i="21"/>
  <c r="Q95" i="21"/>
  <c r="M95" i="21"/>
  <c r="I95" i="21"/>
  <c r="P95" i="21"/>
  <c r="L95" i="21"/>
  <c r="H95" i="21"/>
  <c r="E101" i="21"/>
  <c r="O95" i="21"/>
  <c r="K95" i="21"/>
  <c r="E173" i="21"/>
  <c r="E96" i="21"/>
  <c r="G95" i="21"/>
  <c r="Q171" i="21"/>
  <c r="Q165" i="21" l="1"/>
  <c r="E165" i="21" s="1"/>
  <c r="E171" i="21"/>
  <c r="E95" i="21"/>
  <c r="P91" i="20"/>
  <c r="N91" i="20"/>
  <c r="M91" i="20"/>
  <c r="L91" i="20"/>
  <c r="J91" i="20"/>
  <c r="F91" i="20"/>
  <c r="Q90" i="20"/>
  <c r="P90" i="20"/>
  <c r="O90" i="20"/>
  <c r="N90" i="20"/>
  <c r="M90" i="20"/>
  <c r="L90" i="20"/>
  <c r="K90" i="20"/>
  <c r="J90" i="20"/>
  <c r="I90" i="20"/>
  <c r="H90" i="20"/>
  <c r="G90" i="20"/>
  <c r="F90" i="20"/>
  <c r="Q89" i="20"/>
  <c r="P89" i="20"/>
  <c r="O89" i="20"/>
  <c r="N89" i="20"/>
  <c r="M89" i="20"/>
  <c r="L89" i="20"/>
  <c r="K89" i="20"/>
  <c r="J89" i="20"/>
  <c r="I89" i="20"/>
  <c r="H89" i="20"/>
  <c r="G89" i="20"/>
  <c r="F89" i="20"/>
  <c r="P88" i="20"/>
  <c r="F88" i="20"/>
  <c r="P87" i="20"/>
  <c r="J87" i="20"/>
  <c r="Q86" i="20"/>
  <c r="Q84" i="20"/>
  <c r="E84" i="20" s="1"/>
  <c r="Q81" i="20"/>
  <c r="N81" i="20"/>
  <c r="M81" i="20"/>
  <c r="J81" i="20"/>
  <c r="J78" i="20" s="1"/>
  <c r="I81" i="20"/>
  <c r="H81" i="20"/>
  <c r="G81" i="20"/>
  <c r="R80" i="20"/>
  <c r="R78" i="20" s="1"/>
  <c r="Q80" i="20"/>
  <c r="Q87" i="20" s="1"/>
  <c r="N80" i="20"/>
  <c r="N87" i="20" s="1"/>
  <c r="M80" i="20"/>
  <c r="M87" i="20" s="1"/>
  <c r="L80" i="20"/>
  <c r="L78" i="20" s="1"/>
  <c r="I80" i="20"/>
  <c r="I87" i="20" s="1"/>
  <c r="H80" i="20"/>
  <c r="H78" i="20" s="1"/>
  <c r="G80" i="20"/>
  <c r="E79" i="20"/>
  <c r="P78" i="20"/>
  <c r="O78" i="20"/>
  <c r="K78" i="20"/>
  <c r="F78" i="20"/>
  <c r="E77" i="20"/>
  <c r="E76" i="20"/>
  <c r="E75" i="20"/>
  <c r="E74" i="20"/>
  <c r="E73" i="20"/>
  <c r="E72" i="20"/>
  <c r="Q71" i="20"/>
  <c r="P71" i="20"/>
  <c r="O71" i="20"/>
  <c r="N71" i="20"/>
  <c r="M71" i="20"/>
  <c r="L71" i="20"/>
  <c r="K71" i="20"/>
  <c r="J71" i="20"/>
  <c r="I71" i="20"/>
  <c r="H71" i="20"/>
  <c r="G71" i="20"/>
  <c r="F71" i="20"/>
  <c r="E70" i="20"/>
  <c r="E69" i="20"/>
  <c r="E68" i="20"/>
  <c r="E67" i="20"/>
  <c r="E66" i="20"/>
  <c r="E65" i="20"/>
  <c r="R64" i="20"/>
  <c r="Q64" i="20"/>
  <c r="P64" i="20"/>
  <c r="O64" i="20"/>
  <c r="N64" i="20"/>
  <c r="M64" i="20"/>
  <c r="L64" i="20"/>
  <c r="K64" i="20"/>
  <c r="J64" i="20"/>
  <c r="I64" i="20"/>
  <c r="H64" i="20"/>
  <c r="G64" i="20"/>
  <c r="F64" i="20"/>
  <c r="E63" i="20"/>
  <c r="E62" i="20"/>
  <c r="E61" i="20"/>
  <c r="E60" i="20"/>
  <c r="E59" i="20"/>
  <c r="E58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R56" i="20"/>
  <c r="O56" i="20"/>
  <c r="O91" i="20" s="1"/>
  <c r="K56" i="20"/>
  <c r="K91" i="20" s="1"/>
  <c r="I56" i="20"/>
  <c r="I91" i="20" s="1"/>
  <c r="H56" i="20"/>
  <c r="H91" i="20" s="1"/>
  <c r="G56" i="20"/>
  <c r="G91" i="20" s="1"/>
  <c r="E55" i="20"/>
  <c r="E54" i="20"/>
  <c r="R53" i="20"/>
  <c r="R50" i="20" s="1"/>
  <c r="O53" i="20"/>
  <c r="O88" i="20" s="1"/>
  <c r="N53" i="20"/>
  <c r="M53" i="20"/>
  <c r="M50" i="20" s="1"/>
  <c r="L53" i="20"/>
  <c r="L50" i="20" s="1"/>
  <c r="K53" i="20"/>
  <c r="K88" i="20" s="1"/>
  <c r="J53" i="20"/>
  <c r="J50" i="20" s="1"/>
  <c r="I53" i="20"/>
  <c r="I88" i="20" s="1"/>
  <c r="H53" i="20"/>
  <c r="G53" i="20"/>
  <c r="G50" i="20" s="1"/>
  <c r="E52" i="20"/>
  <c r="E51" i="20"/>
  <c r="Q50" i="20"/>
  <c r="P50" i="20"/>
  <c r="N50" i="20"/>
  <c r="F50" i="20"/>
  <c r="E49" i="20"/>
  <c r="E48" i="20"/>
  <c r="E47" i="20"/>
  <c r="Q46" i="20"/>
  <c r="E46" i="20" s="1"/>
  <c r="E45" i="20"/>
  <c r="E44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E42" i="20"/>
  <c r="E41" i="20"/>
  <c r="E40" i="20"/>
  <c r="E39" i="20"/>
  <c r="R38" i="20"/>
  <c r="R36" i="20" s="1"/>
  <c r="O38" i="20"/>
  <c r="O87" i="20" s="1"/>
  <c r="L38" i="20"/>
  <c r="K38" i="20"/>
  <c r="K87" i="20" s="1"/>
  <c r="G38" i="20"/>
  <c r="F38" i="20"/>
  <c r="F87" i="20" s="1"/>
  <c r="P37" i="20"/>
  <c r="P86" i="20" s="1"/>
  <c r="O37" i="20"/>
  <c r="O86" i="20" s="1"/>
  <c r="N37" i="20"/>
  <c r="N86" i="20" s="1"/>
  <c r="M37" i="20"/>
  <c r="M86" i="20" s="1"/>
  <c r="L37" i="20"/>
  <c r="L86" i="20" s="1"/>
  <c r="K37" i="20"/>
  <c r="K86" i="20" s="1"/>
  <c r="J37" i="20"/>
  <c r="J86" i="20" s="1"/>
  <c r="I37" i="20"/>
  <c r="I86" i="20" s="1"/>
  <c r="H37" i="20"/>
  <c r="H86" i="20" s="1"/>
  <c r="G37" i="20"/>
  <c r="G86" i="20" s="1"/>
  <c r="F37" i="20"/>
  <c r="F86" i="20" s="1"/>
  <c r="Q36" i="20"/>
  <c r="P36" i="20"/>
  <c r="E35" i="20"/>
  <c r="E34" i="20"/>
  <c r="E33" i="20"/>
  <c r="N32" i="20"/>
  <c r="M32" i="20"/>
  <c r="E31" i="20"/>
  <c r="E30" i="20"/>
  <c r="R29" i="20"/>
  <c r="Q29" i="20"/>
  <c r="P29" i="20"/>
  <c r="O29" i="20"/>
  <c r="L29" i="20"/>
  <c r="K29" i="20"/>
  <c r="J29" i="20"/>
  <c r="I29" i="20"/>
  <c r="H29" i="20"/>
  <c r="G29" i="20"/>
  <c r="F29" i="20"/>
  <c r="Q28" i="20"/>
  <c r="E28" i="20" s="1"/>
  <c r="E27" i="20"/>
  <c r="E26" i="20"/>
  <c r="Q25" i="20"/>
  <c r="M25" i="20"/>
  <c r="L25" i="20"/>
  <c r="E24" i="20"/>
  <c r="E23" i="20"/>
  <c r="R22" i="20"/>
  <c r="P22" i="20"/>
  <c r="O22" i="20"/>
  <c r="N22" i="20"/>
  <c r="L22" i="20"/>
  <c r="K22" i="20"/>
  <c r="J22" i="20"/>
  <c r="I22" i="20"/>
  <c r="H22" i="20"/>
  <c r="G22" i="20"/>
  <c r="F22" i="20"/>
  <c r="L87" i="20" l="1"/>
  <c r="Q43" i="20"/>
  <c r="P85" i="20"/>
  <c r="E43" i="20"/>
  <c r="I78" i="20"/>
  <c r="E90" i="20"/>
  <c r="K50" i="20"/>
  <c r="H36" i="20"/>
  <c r="M88" i="20"/>
  <c r="M85" i="20" s="1"/>
  <c r="N88" i="20"/>
  <c r="I36" i="20"/>
  <c r="H88" i="20"/>
  <c r="E64" i="20"/>
  <c r="E80" i="20"/>
  <c r="I85" i="20"/>
  <c r="O50" i="20"/>
  <c r="J88" i="20"/>
  <c r="J85" i="20" s="1"/>
  <c r="Q91" i="20"/>
  <c r="E91" i="20" s="1"/>
  <c r="G87" i="20"/>
  <c r="G78" i="20"/>
  <c r="E81" i="20"/>
  <c r="Q78" i="20"/>
  <c r="H87" i="20"/>
  <c r="Q22" i="20"/>
  <c r="H50" i="20"/>
  <c r="E57" i="20"/>
  <c r="N78" i="20"/>
  <c r="L36" i="20"/>
  <c r="L88" i="20"/>
  <c r="L85" i="20" s="1"/>
  <c r="E32" i="20"/>
  <c r="M36" i="20"/>
  <c r="K85" i="20"/>
  <c r="O85" i="20"/>
  <c r="G88" i="20"/>
  <c r="E71" i="20"/>
  <c r="M78" i="20"/>
  <c r="E89" i="20"/>
  <c r="E86" i="20"/>
  <c r="F85" i="20"/>
  <c r="N85" i="20"/>
  <c r="M22" i="20"/>
  <c r="E25" i="20"/>
  <c r="T25" i="20" s="1"/>
  <c r="J36" i="20"/>
  <c r="M29" i="20"/>
  <c r="G36" i="20"/>
  <c r="K36" i="20"/>
  <c r="O36" i="20"/>
  <c r="E37" i="20"/>
  <c r="E38" i="20"/>
  <c r="I50" i="20"/>
  <c r="E53" i="20"/>
  <c r="Q88" i="20"/>
  <c r="N29" i="20"/>
  <c r="E56" i="20"/>
  <c r="F36" i="20"/>
  <c r="N36" i="20"/>
  <c r="P91" i="19"/>
  <c r="N91" i="19"/>
  <c r="M91" i="19"/>
  <c r="L91" i="19"/>
  <c r="J91" i="19"/>
  <c r="F91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P88" i="19"/>
  <c r="F88" i="19"/>
  <c r="P87" i="19"/>
  <c r="J87" i="19"/>
  <c r="Q86" i="19"/>
  <c r="Q84" i="19"/>
  <c r="E84" i="19" s="1"/>
  <c r="Q81" i="19"/>
  <c r="N81" i="19"/>
  <c r="M81" i="19"/>
  <c r="J81" i="19"/>
  <c r="J78" i="19" s="1"/>
  <c r="I81" i="19"/>
  <c r="H81" i="19"/>
  <c r="G81" i="19"/>
  <c r="R80" i="19"/>
  <c r="R78" i="19" s="1"/>
  <c r="Q80" i="19"/>
  <c r="Q87" i="19" s="1"/>
  <c r="N80" i="19"/>
  <c r="N87" i="19" s="1"/>
  <c r="M80" i="19"/>
  <c r="M87" i="19" s="1"/>
  <c r="L80" i="19"/>
  <c r="L78" i="19" s="1"/>
  <c r="I80" i="19"/>
  <c r="I87" i="19" s="1"/>
  <c r="H80" i="19"/>
  <c r="H87" i="19" s="1"/>
  <c r="G80" i="19"/>
  <c r="E79" i="19"/>
  <c r="P78" i="19"/>
  <c r="O78" i="19"/>
  <c r="K78" i="19"/>
  <c r="G78" i="19"/>
  <c r="F78" i="19"/>
  <c r="E77" i="19"/>
  <c r="E76" i="19"/>
  <c r="E75" i="19"/>
  <c r="E74" i="19"/>
  <c r="E73" i="19"/>
  <c r="E72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0" i="19"/>
  <c r="E69" i="19"/>
  <c r="E68" i="19"/>
  <c r="E67" i="19"/>
  <c r="E66" i="19"/>
  <c r="E65" i="19"/>
  <c r="R64" i="19"/>
  <c r="Q64" i="19"/>
  <c r="P64" i="19"/>
  <c r="O64" i="19"/>
  <c r="N64" i="19"/>
  <c r="M64" i="19"/>
  <c r="L64" i="19"/>
  <c r="K64" i="19"/>
  <c r="J64" i="19"/>
  <c r="I64" i="19"/>
  <c r="H64" i="19"/>
  <c r="G64" i="19"/>
  <c r="F64" i="19"/>
  <c r="E63" i="19"/>
  <c r="E62" i="19"/>
  <c r="E61" i="19"/>
  <c r="E60" i="19"/>
  <c r="E59" i="19"/>
  <c r="E58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R56" i="19"/>
  <c r="O56" i="19"/>
  <c r="O91" i="19" s="1"/>
  <c r="K56" i="19"/>
  <c r="K91" i="19" s="1"/>
  <c r="I56" i="19"/>
  <c r="I91" i="19" s="1"/>
  <c r="H56" i="19"/>
  <c r="H91" i="19" s="1"/>
  <c r="G56" i="19"/>
  <c r="G91" i="19" s="1"/>
  <c r="E55" i="19"/>
  <c r="E54" i="19"/>
  <c r="R53" i="19"/>
  <c r="O53" i="19"/>
  <c r="O88" i="19" s="1"/>
  <c r="N53" i="19"/>
  <c r="N50" i="19" s="1"/>
  <c r="M53" i="19"/>
  <c r="L53" i="19"/>
  <c r="K53" i="19"/>
  <c r="K88" i="19" s="1"/>
  <c r="J53" i="19"/>
  <c r="J88" i="19" s="1"/>
  <c r="I53" i="19"/>
  <c r="I88" i="19" s="1"/>
  <c r="H53" i="19"/>
  <c r="H50" i="19" s="1"/>
  <c r="G53" i="19"/>
  <c r="G88" i="19" s="1"/>
  <c r="E52" i="19"/>
  <c r="E51" i="19"/>
  <c r="R50" i="19"/>
  <c r="Q50" i="19"/>
  <c r="P50" i="19"/>
  <c r="M50" i="19"/>
  <c r="L50" i="19"/>
  <c r="F50" i="19"/>
  <c r="E49" i="19"/>
  <c r="E48" i="19"/>
  <c r="E47" i="19"/>
  <c r="Q46" i="19"/>
  <c r="E46" i="19" s="1"/>
  <c r="E45" i="19"/>
  <c r="E44" i="19"/>
  <c r="R43" i="19"/>
  <c r="P43" i="19"/>
  <c r="O43" i="19"/>
  <c r="N43" i="19"/>
  <c r="M43" i="19"/>
  <c r="L43" i="19"/>
  <c r="K43" i="19"/>
  <c r="J43" i="19"/>
  <c r="I43" i="19"/>
  <c r="H43" i="19"/>
  <c r="G43" i="19"/>
  <c r="F43" i="19"/>
  <c r="E42" i="19"/>
  <c r="E41" i="19"/>
  <c r="E40" i="19"/>
  <c r="E39" i="19"/>
  <c r="R38" i="19"/>
  <c r="R36" i="19" s="1"/>
  <c r="O38" i="19"/>
  <c r="O87" i="19" s="1"/>
  <c r="L38" i="19"/>
  <c r="K38" i="19"/>
  <c r="K87" i="19" s="1"/>
  <c r="G38" i="19"/>
  <c r="G87" i="19" s="1"/>
  <c r="F38" i="19"/>
  <c r="F87" i="19" s="1"/>
  <c r="P37" i="19"/>
  <c r="P86" i="19" s="1"/>
  <c r="O37" i="19"/>
  <c r="O86" i="19" s="1"/>
  <c r="N37" i="19"/>
  <c r="N86" i="19" s="1"/>
  <c r="M37" i="19"/>
  <c r="M86" i="19" s="1"/>
  <c r="L37" i="19"/>
  <c r="L86" i="19" s="1"/>
  <c r="K37" i="19"/>
  <c r="K86" i="19" s="1"/>
  <c r="J37" i="19"/>
  <c r="J86" i="19" s="1"/>
  <c r="I37" i="19"/>
  <c r="I86" i="19" s="1"/>
  <c r="H37" i="19"/>
  <c r="H86" i="19" s="1"/>
  <c r="G37" i="19"/>
  <c r="G86" i="19" s="1"/>
  <c r="F37" i="19"/>
  <c r="F86" i="19" s="1"/>
  <c r="Q36" i="19"/>
  <c r="L36" i="19"/>
  <c r="E35" i="19"/>
  <c r="E34" i="19"/>
  <c r="E33" i="19"/>
  <c r="N32" i="19"/>
  <c r="N29" i="19" s="1"/>
  <c r="M32" i="19"/>
  <c r="E31" i="19"/>
  <c r="E30" i="19"/>
  <c r="R29" i="19"/>
  <c r="Q29" i="19"/>
  <c r="P29" i="19"/>
  <c r="O29" i="19"/>
  <c r="L29" i="19"/>
  <c r="K29" i="19"/>
  <c r="J29" i="19"/>
  <c r="I29" i="19"/>
  <c r="H29" i="19"/>
  <c r="G29" i="19"/>
  <c r="F29" i="19"/>
  <c r="Q28" i="19"/>
  <c r="E27" i="19"/>
  <c r="E26" i="19"/>
  <c r="Q25" i="19"/>
  <c r="M25" i="19"/>
  <c r="M22" i="19" s="1"/>
  <c r="L25" i="19"/>
  <c r="L88" i="19" s="1"/>
  <c r="E24" i="19"/>
  <c r="E23" i="19"/>
  <c r="R22" i="19"/>
  <c r="P22" i="19"/>
  <c r="O22" i="19"/>
  <c r="N22" i="19"/>
  <c r="K22" i="19"/>
  <c r="J22" i="19"/>
  <c r="I22" i="19"/>
  <c r="H22" i="19"/>
  <c r="G22" i="19"/>
  <c r="F22" i="19"/>
  <c r="Q43" i="19" l="1"/>
  <c r="H85" i="20"/>
  <c r="E22" i="20"/>
  <c r="Q91" i="19"/>
  <c r="E91" i="19" s="1"/>
  <c r="E57" i="19"/>
  <c r="Q85" i="20"/>
  <c r="G85" i="20"/>
  <c r="E85" i="20" s="1"/>
  <c r="J50" i="19"/>
  <c r="E50" i="20"/>
  <c r="N88" i="19"/>
  <c r="E87" i="20"/>
  <c r="G36" i="19"/>
  <c r="Q88" i="19"/>
  <c r="H36" i="19"/>
  <c r="I85" i="19"/>
  <c r="H88" i="19"/>
  <c r="H85" i="19" s="1"/>
  <c r="E78" i="20"/>
  <c r="P36" i="19"/>
  <c r="E89" i="19"/>
  <c r="M36" i="19"/>
  <c r="N85" i="19"/>
  <c r="E56" i="19"/>
  <c r="M78" i="19"/>
  <c r="E29" i="20"/>
  <c r="G85" i="19"/>
  <c r="O85" i="19"/>
  <c r="E43" i="19"/>
  <c r="E71" i="19"/>
  <c r="N78" i="19"/>
  <c r="J85" i="19"/>
  <c r="E80" i="19"/>
  <c r="E81" i="19"/>
  <c r="I36" i="19"/>
  <c r="K85" i="19"/>
  <c r="Q22" i="19"/>
  <c r="E32" i="19"/>
  <c r="K36" i="19"/>
  <c r="P85" i="19"/>
  <c r="L87" i="19"/>
  <c r="L85" i="19" s="1"/>
  <c r="I50" i="19"/>
  <c r="E64" i="19"/>
  <c r="E90" i="19"/>
  <c r="E88" i="20"/>
  <c r="E36" i="20"/>
  <c r="E86" i="19"/>
  <c r="F85" i="19"/>
  <c r="M29" i="19"/>
  <c r="E29" i="19" s="1"/>
  <c r="O36" i="19"/>
  <c r="E37" i="19"/>
  <c r="E38" i="19"/>
  <c r="E53" i="19"/>
  <c r="M88" i="19"/>
  <c r="M85" i="19" s="1"/>
  <c r="L22" i="19"/>
  <c r="E28" i="19"/>
  <c r="G50" i="19"/>
  <c r="K50" i="19"/>
  <c r="O50" i="19"/>
  <c r="H78" i="19"/>
  <c r="E25" i="19"/>
  <c r="T25" i="19" s="1"/>
  <c r="F36" i="19"/>
  <c r="J36" i="19"/>
  <c r="N36" i="19"/>
  <c r="I78" i="19"/>
  <c r="Q78" i="19"/>
  <c r="Q85" i="19" l="1"/>
  <c r="E87" i="19"/>
  <c r="E50" i="19"/>
  <c r="E22" i="19"/>
  <c r="E78" i="19"/>
  <c r="E88" i="19"/>
  <c r="E36" i="19"/>
  <c r="E85" i="19"/>
  <c r="L172" i="21" l="1"/>
  <c r="J172" i="21"/>
  <c r="O172" i="21"/>
  <c r="P172" i="21"/>
  <c r="Q172" i="21"/>
  <c r="G172" i="21"/>
  <c r="I172" i="21"/>
  <c r="F179" i="21"/>
  <c r="N172" i="21"/>
  <c r="K172" i="21"/>
  <c r="M172" i="21"/>
  <c r="H172" i="21" l="1"/>
  <c r="E172" i="21" s="1"/>
</calcChain>
</file>

<file path=xl/comments1.xml><?xml version="1.0" encoding="utf-8"?>
<comments xmlns="http://schemas.openxmlformats.org/spreadsheetml/2006/main">
  <authors>
    <author>Автор</author>
  </authors>
  <commentList>
    <comment ref="K112" authorId="0" shapeId="0">
      <text>
        <r>
          <rPr>
            <b/>
            <sz val="16"/>
            <color indexed="81"/>
            <rFont val="Tahoma"/>
            <family val="2"/>
            <charset val="204"/>
          </rPr>
          <t>Автор:</t>
        </r>
        <r>
          <rPr>
            <sz val="16"/>
            <color indexed="81"/>
            <rFont val="Tahoma"/>
            <family val="2"/>
            <charset val="204"/>
          </rPr>
          <t xml:space="preserve">
перераспределение с 16 мп (15 т.р.), кор совет № 15</t>
        </r>
      </text>
    </comment>
  </commentList>
</comments>
</file>

<file path=xl/sharedStrings.xml><?xml version="1.0" encoding="utf-8"?>
<sst xmlns="http://schemas.openxmlformats.org/spreadsheetml/2006/main" count="524" uniqueCount="118">
  <si>
    <t>всего</t>
  </si>
  <si>
    <t>местный бюджет</t>
  </si>
  <si>
    <t>средства по Соглашениям по передаче полномочий</t>
  </si>
  <si>
    <t>Всего по муниципальной программе</t>
  </si>
  <si>
    <t>иные источники</t>
  </si>
  <si>
    <t>Источники финансирования</t>
  </si>
  <si>
    <t>федеральный бюджет</t>
  </si>
  <si>
    <t>бюджет автономного округа</t>
  </si>
  <si>
    <t>2</t>
  </si>
  <si>
    <t>3</t>
  </si>
  <si>
    <t>4</t>
  </si>
  <si>
    <t>Основное мероприятие:
Обеспечение деятельности для эффективного и качественного исполнения полномочий администрации Нефтеюганского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(1)</t>
  </si>
  <si>
    <t xml:space="preserve"> Основное мероприятие:
Проведение работ по формированию и оценке земельных участков для эффективного планирования и осуществления муниципального земельного контроля, сформированных и предоставленных земельных участков физическим и юридическим лицам                                                                                                                                                                                                                                                                                                                                                                                                                                                                                                                                                      (2)</t>
  </si>
  <si>
    <t>Основное мероприятие:
Осуществление полномочий в сфере государственной регистрации актов гражданского состояния                                                                                                                                                                                                                                                                                                                                                  (3)</t>
  </si>
  <si>
    <t>Основное мероприятие:
Осуществление полномочий  по хранению, комплектованию архивных документов, относящихся к государственной собственности автономного округа, создание нормативных условий для хранения архивных документов, обеспечение сохранности архивных документов, хранящихся в муниципальном архиве, развитие информационных технологий в области архивного дела, популяризация архивных документов                                                                                                                                                                                               (4)</t>
  </si>
  <si>
    <t>Основное мероприятие:
Повышение квалификации, формирование резервов управленческих кадров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(5,6)</t>
  </si>
  <si>
    <t>Основное мероприятие:
Проведение мониторинга о ходе реализации мероприятий в органах местного самоуправления Нефтеюганского района по противодействию коррупции, подготовка и размещение информации о  деятельности  органов местного  самоуправления Нефтеюганского района в местных  печатных и электронных  СМИ                                                                                                                                                                                                                                                                                                                                                                                                                         (7)</t>
  </si>
  <si>
    <t>Основное мероприятие:
Проведение конкурса среди муниципальных служащих «Лучший муниципальный служащий муниципального образования Нефтеюганский район»                                                                                                                                                                                                                                        (8)</t>
  </si>
  <si>
    <t>Всего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</si>
  <si>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</si>
  <si>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</si>
  <si>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</si>
  <si>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</si>
  <si>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</si>
  <si>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</si>
  <si>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</si>
  <si>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</si>
  <si>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</si>
  <si>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</si>
  <si>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</si>
  <si>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</si>
  <si>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СОГЛАСОВАНО</t>
  </si>
  <si>
    <t>(куратор ответственного исполнителя)</t>
  </si>
  <si>
    <t>(куратор соисполнителя)</t>
  </si>
  <si>
    <t xml:space="preserve">КОМПЛЕКСНЫЙ ПЛАН </t>
  </si>
  <si>
    <t>тыс.рублей</t>
  </si>
  <si>
    <t>средства поселений</t>
  </si>
  <si>
    <t>Финансовые затраты на реализацию муниципальной программы (планируемое освоение)</t>
  </si>
  <si>
    <t xml:space="preserve">Наименование мероприятия </t>
  </si>
  <si>
    <t xml:space="preserve">№ </t>
  </si>
  <si>
    <t>Ответственный исполнитель, соисполнитель мероприятия (структурное подразделение, ФИО, должность, № тел.)</t>
  </si>
  <si>
    <t>Сумма в программе</t>
  </si>
  <si>
    <t>5</t>
  </si>
  <si>
    <t>6</t>
  </si>
  <si>
    <t>7</t>
  </si>
  <si>
    <t>8</t>
  </si>
  <si>
    <t>Первый заместитель главы района</t>
  </si>
  <si>
    <t>Директор департамента имущественных отношений  - заместитель главы района</t>
  </si>
  <si>
    <t>Заместитель главы района</t>
  </si>
  <si>
    <t>Начальник управления по учету и отчетности - главный бухгалтер</t>
  </si>
  <si>
    <t>Т.П.Раздрогина</t>
  </si>
  <si>
    <t xml:space="preserve"> Отдел кадров и муниципальной службы - начальник отдела М.В.Пинчукова 250-136</t>
  </si>
  <si>
    <t>Отдел ЗАГС/администрации городских и сельских поселений 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заведующий отделом                                                                                                                                                                                                                                                                                                                                                                                  Р.А. Петелина 225-583</t>
  </si>
  <si>
    <t>Директор департамента финансов -  заместитель главы района</t>
  </si>
  <si>
    <t>___________________________ М.Ф.Бузунова</t>
  </si>
  <si>
    <t>___________________________ С.А.Кудашкин</t>
  </si>
  <si>
    <t>____________________________О.В. Бородкина</t>
  </si>
  <si>
    <t>к муниципальной программе  «Совершенствование муниципального управления в Нефтеюганском районе на 2019-2024 годы и на период 
до 2030 года» на 2019 год</t>
  </si>
  <si>
    <t>Основное мероприятие:
Совершенствование структуры администрации Нефтеюганского района                                                                                                                                                              (9)</t>
  </si>
  <si>
    <t>9</t>
  </si>
  <si>
    <t>Основное мероприятие:
Обеспечение деятельности  Муниципального Учреждения «Многофункциональный центр предоставления государственных и муниципальных услуг» Нефтеюганского района                                                                                                                                                                       (10,11)</t>
  </si>
  <si>
    <t>Управление по учету и отчетности АНР - главный бухгалтер                                                                                                                                                                                                                                                                                                                                                                                                                              Т.П.Раздрогина 250-152;                                                                                                                                                                                                                                                                                                                                                                                                                             256-821;                                                                                                                                                                                                                                                                                                                                                                                                                    МКУ "Управление по делам администрации  Нефтеюганского района" - главный бухгалтер                                                                                                                                                                                                                                                                                                                                         C.И. Белоусова 290-030;                                   290-032</t>
  </si>
  <si>
    <t>Комитет по земельным ресурсам департамента градостраительства и землепользования администрации Нефтеюганского района  - председатель комитета                  Т.А. Вязникова 
250-819</t>
  </si>
  <si>
    <t>МУ «Многофункциональный центр предоставления муниципальных и государственных услуг» Нефтеюганского района - главный бухгалтер С.В.Тяжельникова 316-303</t>
  </si>
  <si>
    <t>____________________________В.Г. Михалев</t>
  </si>
  <si>
    <t>Отдел по делам архивов - начальник отдела/ДЭ.В.Лозовцева 233-851</t>
  </si>
  <si>
    <t>Исполнитель:</t>
  </si>
  <si>
    <t>тел.</t>
  </si>
  <si>
    <t>______.2019</t>
  </si>
  <si>
    <t>Основное мероприятие 3.1:
Обеспечение деятельности  Муниципального Учреждения «Многофункциональный центр предоставления государственных и муниципальных услуг» Нефтеюганского района                                                                                                                                                                       (10,11)</t>
  </si>
  <si>
    <t>Основное мероприятие 2.2:
Проведение мониторинга о ходе реализации мероприятий в органах местного самоуправления Нефтеюганского района по противодействию коррупции, подготовка и размещение информации о  деятельности  органов местного  самоуправления Нефтеюганского района в местных  печатных и электронных  СМИ                                                                                                                                                                                                                                                                                                                                                                                                                         (7)</t>
  </si>
  <si>
    <t>Управление муниципальной службы, кадров и наград администрации Нефтеюганского района/Администрация Нефтеюганского район</t>
  </si>
  <si>
    <t>средства поселений*</t>
  </si>
  <si>
    <t xml:space="preserve">Управление муниципальной службы, кадров и наград администрации Нефтеюганского района/Департамент  имущественных отношений Нефтеюганского района </t>
  </si>
  <si>
    <t>Управление муниципальной службы, кадров и наград администрации Нефтеюганского района/Департамент культуры и спорта  Нефтеюганского района</t>
  </si>
  <si>
    <t>Управление муниципальной службы, кадров и наград администрации Нефтеюганского района/Дума Нефтеюганского района</t>
  </si>
  <si>
    <t>Управление муниципальной службы, кадров и наград  - начальник управления М.В.Пинчукова 250-136</t>
  </si>
  <si>
    <r>
      <t>Управление муниципальной службы, кадров и наград администрации Нефтеюганского района/</t>
    </r>
    <r>
      <rPr>
        <sz val="15"/>
        <color rgb="FFFF0000"/>
        <rFont val="Times New Roman"/>
        <family val="1"/>
        <charset val="204"/>
      </rPr>
      <t xml:space="preserve">Департамент финансов Нефтеюганского района </t>
    </r>
  </si>
  <si>
    <r>
      <t>Управление муниципальной службы, кадров и наград администрации Нефтеюганского района/</t>
    </r>
    <r>
      <rPr>
        <sz val="15"/>
        <color rgb="FFFF0000"/>
        <rFont val="Times New Roman"/>
        <family val="1"/>
        <charset val="204"/>
      </rPr>
      <t xml:space="preserve">Департамент образования и молодежной политики </t>
    </r>
  </si>
  <si>
    <r>
      <t>Управление муниципальной службы, кадров и наград администрации Нефтеюганского района/</t>
    </r>
    <r>
      <rPr>
        <sz val="15"/>
        <color rgb="FFFF0000"/>
        <rFont val="Times New Roman"/>
        <family val="1"/>
        <charset val="204"/>
      </rPr>
      <t>Департамент строительства и жилищно-коммунального комплекса Нефтеюганского района</t>
    </r>
  </si>
  <si>
    <t xml:space="preserve">Комитет по экономической политике и предпринимательству администрации Нефтеюганского района/МКУ "Управление по делам администрации  Нефтеюганского района" </t>
  </si>
  <si>
    <t>Основное мероприятие 1.5 :
Осуществление мероприятий направленных на защиту прав потребителей Нефтеюганского района                                                                                                                                                                                               (12)</t>
  </si>
  <si>
    <t>Основное мероприятие 1.4 :
Осуществление полномочий  по хранению, комплектованию архивных документов, относящихся к государственной собственности автономного округа, создание нормативных условий для хранения архивных документов, обеспечение сохранности архивных документов, хранящихся в муниципальном архиве, развитие информационных технологий в области архивного дела, популяризация архивных документов                                                                                                                                                                                               (4)</t>
  </si>
  <si>
    <t>Основное мероприятие 1.3:
Осуществление полномочий в сфере государственной регистрации актов гражданского состояния                                                                                                                                                                                                                                                                                                                                                  (3)</t>
  </si>
  <si>
    <t>Отдел ЗАГС/Администрация Нефтеюганского района</t>
  </si>
  <si>
    <t xml:space="preserve"> Основное мероприятие 1.2 :
Проведение работ по формированию и оценке земельных участков для эффективного планирования и осуществления муниципального земельного контроля, сформированных и предоставленных земельных участков физическим и юридическим лицам                                                                                                                                                                                                                                                                                                                                                                                                                                                                                                                                                      (2)</t>
  </si>
  <si>
    <t xml:space="preserve"> Департамент градостроительства и землепользования администрации Нефтеюганского района (комитет по земельным ресурсам) / МКУ "Управление по делам администрации  Нефтеюганского района"   
  - председатель комитета -Т.А. Вязникова 
250-819</t>
  </si>
  <si>
    <t>5.</t>
  </si>
  <si>
    <t>6.</t>
  </si>
  <si>
    <t>7.1</t>
  </si>
  <si>
    <t>7.2</t>
  </si>
  <si>
    <t>7.3</t>
  </si>
  <si>
    <t>7.4</t>
  </si>
  <si>
    <t>7.5</t>
  </si>
  <si>
    <t>7.6</t>
  </si>
  <si>
    <t>7.7</t>
  </si>
  <si>
    <t>Основное мероприятие 2.3:
Проведение конкурса среди муниципальных служащих «Лучший муниципальный служащий муниципального образования Нефтеюганский район»                                                                                                                                                                                                                                        (8)</t>
  </si>
  <si>
    <t>10</t>
  </si>
  <si>
    <t xml:space="preserve">Администрация Нефтеюганского района / Управление информационных технологий и административного реформирования администрации района/МКУ "Управление по делам администрации  Нефтеюганского района"  </t>
  </si>
  <si>
    <t xml:space="preserve">Департамент строительства и жилищно-коммунального комплекса Нефтеюганского района </t>
  </si>
  <si>
    <t>Отдел по делам архивов - начальник отдела/Э.В.Лозовцева 
233-851</t>
  </si>
  <si>
    <t>Основное мероприятие 2.1:
Повышение квалификации, формирование резервов управленческих кадров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(5,6)</t>
  </si>
  <si>
    <t>_______________________________________</t>
  </si>
  <si>
    <t>Основное мероприятие 1.6: Подготовка и проведение Всероссийской переписи населения(1)</t>
  </si>
  <si>
    <t>Исполнители:</t>
  </si>
  <si>
    <t>Чалабиева А.Ю.
250190</t>
  </si>
  <si>
    <t>Отдел ЗАГС/МКУ "Управление по делам администрации  Нефтеюганского района" - главный бухгалтер  C.И. Белоусова 290-030; 
290-032</t>
  </si>
  <si>
    <t>Управление  отчетности и программно-целевого планирования администрации Нефтеюганского района - главный бухгалтер                                                                                                                                                                                                                                                                                                                                                                                                                              Т.А.Пятигор 250-152;
Администрация Нефтеюганского района - главный бухгалтер  C.И. Белоусова 290-030; 
290-032</t>
  </si>
  <si>
    <t>Начальник управления отчетности и программно-целевого планирования-главный бухалтер</t>
  </si>
  <si>
    <t>Т.А. Пятигор</t>
  </si>
  <si>
    <r>
      <t xml:space="preserve">к муниципальной программе  «Совершенствование муниципального управления в Нефтеюганском районе на 2019-2024 годы и на период  до 2030 года» </t>
    </r>
    <r>
      <rPr>
        <b/>
        <sz val="22"/>
        <color theme="1"/>
        <rFont val="Times New Roman"/>
        <family val="1"/>
        <charset val="204"/>
      </rPr>
      <t>на  2022 год</t>
    </r>
  </si>
  <si>
    <t>Основное мероприятие 1.1 :
Обеспечение качественного и эффективного исполнения функций органами местного самоуправления Нефтеюганского района и подведомственными администрации Нефтеюганского района казенными учреждениями                                                                                                                                                                                                                                                                                (1)</t>
  </si>
  <si>
    <r>
      <t>Администрация Нефтеюганского района (управление отчетности и программно-целевого планирования)- главный бухгалтер Т.А.Пятигор 250-152;/</t>
    </r>
    <r>
      <rPr>
        <b/>
        <sz val="15"/>
        <rFont val="Times New Roman"/>
        <family val="1"/>
        <charset val="204"/>
      </rPr>
      <t>Контрольно-счётная палата</t>
    </r>
    <r>
      <rPr>
        <sz val="15"/>
        <rFont val="Times New Roman"/>
        <family val="1"/>
        <charset val="204"/>
      </rPr>
      <t xml:space="preserve">
 (МКУ "Управление по делам администрации  Нефтеюганского района") главный бухгалтер  C.И. Белоусова 290-030; 
290-032</t>
    </r>
  </si>
  <si>
    <r>
      <t>Администрация Нефтеюганского района (управление отчетности и программно-целевого планирования)- главный бухгалтер Т.А.Пятигор 250-152;/</t>
    </r>
    <r>
      <rPr>
        <b/>
        <sz val="15"/>
        <rFont val="Times New Roman"/>
        <family val="1"/>
        <charset val="204"/>
      </rPr>
      <t xml:space="preserve">Дума Нефтеюганского района </t>
    </r>
    <r>
      <rPr>
        <sz val="15"/>
        <rFont val="Times New Roman"/>
        <family val="1"/>
        <charset val="204"/>
      </rPr>
      <t>(МКУ "Управление по делам администрации  Нефтеюганского района") главный бухгалтер  C.И. Белоусова 290-030; 
290-032</t>
    </r>
  </si>
  <si>
    <r>
      <t xml:space="preserve">Управление  отчетности и программно-целевого планирования администрации Нефтеюганского района - главный бухгалтер                                                                                                                                                                                                                                                                                                                                                                                                                              Т.А.Пятигор 250-152;
</t>
    </r>
    <r>
      <rPr>
        <b/>
        <sz val="15"/>
        <rFont val="Times New Roman"/>
        <family val="1"/>
        <charset val="204"/>
      </rPr>
      <t>МКУ "Управление по делам администрации  Нефтеюганского района"</t>
    </r>
    <r>
      <rPr>
        <sz val="15"/>
        <rFont val="Times New Roman"/>
        <family val="1"/>
        <charset val="204"/>
      </rPr>
      <t xml:space="preserve"> - 
главный бухгалтер  C.И. Белоусова 290-030; 
290-032</t>
    </r>
  </si>
  <si>
    <t>Информация по ИИ от МКУ УДА (06.05)</t>
  </si>
  <si>
    <t>_____________________________________ Л.И. Щегульная</t>
  </si>
  <si>
    <t>от 11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</si>
</sst>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_р_._-;_-@_-"/>
    <numFmt numFmtId="166" formatCode="#,##0.0000"/>
    <numFmt numFmtId="167" formatCode="#,##0.00000"/>
    <numFmt numFmtId="168" formatCode="_-* #,##0.00000_р_._-;\-* #,##0.00000_р_._-;_-* &quot;-&quot;??_р_._-;_-@_-"/>
    <numFmt numFmtId="169" formatCode="_-* #,##0.000000000\ _₽_-;\-* #,##0.000000000\ _₽_-;_-* &quot;-&quot;??\ _₽_-;_-@_-"/>
    <numFmt numFmtId="170" formatCode="_-* #,##0.0000000_р_._-;\-* #,##0.0000000_р_._-;_-* &quot;-&quot;??_р_._-;_-@_-"/>
    <numFmt numFmtId="171" formatCode="_-* #,##0.00000\ _₽_-;\-* #,##0.00000\ _₽_-;_-* &quot;-&quot;?????\ _₽_-;_-@_-"/>
    <numFmt numFmtId="172" formatCode="_-* #,##0.0000000\ _₽_-;\-* #,##0.0000000\ _₽_-;_-* &quot;-&quot;?????\ _₽_-;_-@_-"/>
    <numFmt numFmtId="173" formatCode="_-* #,##0.000000\ _₽_-;\-* #,##0.000000\ _₽_-;_-* &quot;-&quot;??\ _₽_-;_-@_-"/>
    <numFmt numFmtId="174" formatCode="_-* #,##0.00000\ _₽_-;\-* #,##0.00000\ _₽_-;_-* &quot;-&quot;??\ _₽_-;_-@_-"/>
  </numFmts>
  <fonts count="6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3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5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4"/>
      <name val="Calibri"/>
      <family val="2"/>
      <scheme val="minor"/>
    </font>
    <font>
      <sz val="18"/>
      <name val="Times New Roman"/>
      <family val="1"/>
      <charset val="204"/>
    </font>
    <font>
      <sz val="25"/>
      <color rgb="FFFF0000"/>
      <name val="Calibri"/>
      <family val="2"/>
      <scheme val="minor"/>
    </font>
    <font>
      <sz val="15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3"/>
      <name val="Calibri"/>
      <family val="2"/>
      <scheme val="minor"/>
    </font>
    <font>
      <i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5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i/>
      <sz val="11"/>
      <color rgb="FFFF0000"/>
      <name val="Calibri"/>
      <family val="2"/>
      <scheme val="minor"/>
    </font>
    <font>
      <i/>
      <sz val="20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"/>
      <family val="2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i/>
      <sz val="16"/>
      <color rgb="FFFF0000"/>
      <name val="Calibri"/>
      <family val="2"/>
      <scheme val="minor"/>
    </font>
    <font>
      <b/>
      <sz val="20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sz val="16"/>
      <color theme="1"/>
      <name val="Calibri"/>
      <family val="2"/>
      <scheme val="minor"/>
    </font>
    <font>
      <u/>
      <sz val="20"/>
      <color theme="1"/>
      <name val="Times New Roman"/>
      <family val="1"/>
      <charset val="204"/>
    </font>
    <font>
      <b/>
      <sz val="16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sz val="20"/>
      <name val="Calibri"/>
      <family val="2"/>
      <scheme val="minor"/>
    </font>
    <font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sz val="25"/>
      <name val="Times New Roman"/>
      <family val="1"/>
      <charset val="204"/>
    </font>
    <font>
      <b/>
      <sz val="25"/>
      <name val="Times New Roman"/>
      <family val="1"/>
      <charset val="204"/>
    </font>
    <font>
      <sz val="2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6" fillId="0" borderId="0" applyFont="0" applyFill="0" applyBorder="0" applyAlignment="0" applyProtection="0"/>
    <xf numFmtId="0" fontId="36" fillId="0" borderId="0"/>
    <xf numFmtId="0" fontId="45" fillId="0" borderId="0"/>
  </cellStyleXfs>
  <cellXfs count="26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 applyBorder="1" applyAlignment="1"/>
    <xf numFmtId="4" fontId="7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12" fillId="3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/>
    <xf numFmtId="165" fontId="5" fillId="2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4" fillId="2" borderId="0" xfId="0" applyFont="1" applyFill="1"/>
    <xf numFmtId="164" fontId="14" fillId="2" borderId="0" xfId="0" applyNumberFormat="1" applyFont="1" applyFill="1"/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Alignment="1"/>
    <xf numFmtId="0" fontId="15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6" fillId="0" borderId="0" xfId="0" applyFont="1" applyBorder="1" applyAlignment="1"/>
    <xf numFmtId="2" fontId="11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/>
    <xf numFmtId="0" fontId="16" fillId="0" borderId="0" xfId="0" applyFont="1" applyBorder="1" applyAlignment="1">
      <alignment wrapText="1"/>
    </xf>
    <xf numFmtId="0" fontId="0" fillId="0" borderId="0" xfId="0" applyAlignment="1">
      <alignment horizontal="left"/>
    </xf>
    <xf numFmtId="166" fontId="8" fillId="2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left"/>
    </xf>
    <xf numFmtId="4" fontId="19" fillId="0" borderId="0" xfId="0" applyNumberFormat="1" applyFont="1" applyAlignment="1">
      <alignment horizontal="center"/>
    </xf>
    <xf numFmtId="165" fontId="9" fillId="3" borderId="1" xfId="0" applyNumberFormat="1" applyFont="1" applyFill="1" applyBorder="1" applyAlignment="1">
      <alignment horizontal="left" vertical="center" wrapText="1"/>
    </xf>
    <xf numFmtId="0" fontId="21" fillId="2" borderId="0" xfId="0" applyFont="1" applyFill="1"/>
    <xf numFmtId="165" fontId="11" fillId="2" borderId="1" xfId="0" applyNumberFormat="1" applyFont="1" applyFill="1" applyBorder="1" applyAlignment="1">
      <alignment horizontal="left" vertical="center" wrapText="1"/>
    </xf>
    <xf numFmtId="0" fontId="23" fillId="2" borderId="0" xfId="0" applyFont="1" applyFill="1"/>
    <xf numFmtId="0" fontId="24" fillId="2" borderId="1" xfId="0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164" fontId="28" fillId="3" borderId="1" xfId="0" applyNumberFormat="1" applyFont="1" applyFill="1" applyBorder="1" applyAlignment="1">
      <alignment vertical="center"/>
    </xf>
    <xf numFmtId="167" fontId="7" fillId="3" borderId="1" xfId="0" applyNumberFormat="1" applyFont="1" applyFill="1" applyBorder="1" applyAlignment="1">
      <alignment horizontal="center"/>
    </xf>
    <xf numFmtId="167" fontId="7" fillId="2" borderId="1" xfId="0" applyNumberFormat="1" applyFont="1" applyFill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/>
    </xf>
    <xf numFmtId="4" fontId="8" fillId="2" borderId="0" xfId="0" applyNumberFormat="1" applyFont="1" applyFill="1"/>
    <xf numFmtId="164" fontId="31" fillId="2" borderId="1" xfId="0" applyNumberFormat="1" applyFont="1" applyFill="1" applyBorder="1" applyAlignment="1">
      <alignment vertical="center"/>
    </xf>
    <xf numFmtId="164" fontId="30" fillId="3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30" fillId="3" borderId="1" xfId="0" applyNumberFormat="1" applyFont="1" applyFill="1" applyBorder="1" applyAlignment="1">
      <alignment vertical="center"/>
    </xf>
    <xf numFmtId="167" fontId="12" fillId="2" borderId="1" xfId="0" applyNumberFormat="1" applyFont="1" applyFill="1" applyBorder="1" applyAlignment="1">
      <alignment horizontal="center" vertical="center"/>
    </xf>
    <xf numFmtId="164" fontId="28" fillId="2" borderId="1" xfId="0" applyNumberFormat="1" applyFont="1" applyFill="1" applyBorder="1" applyAlignment="1">
      <alignment vertical="center"/>
    </xf>
    <xf numFmtId="164" fontId="29" fillId="2" borderId="1" xfId="0" applyNumberFormat="1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164" fontId="30" fillId="2" borderId="1" xfId="0" applyNumberFormat="1" applyFont="1" applyFill="1" applyBorder="1" applyAlignment="1">
      <alignment vertical="center"/>
    </xf>
    <xf numFmtId="165" fontId="32" fillId="2" borderId="0" xfId="0" applyNumberFormat="1" applyFont="1" applyFill="1" applyBorder="1" applyAlignment="1">
      <alignment horizontal="left" vertical="center" wrapText="1"/>
    </xf>
    <xf numFmtId="165" fontId="32" fillId="2" borderId="0" xfId="0" applyNumberFormat="1" applyFont="1" applyFill="1" applyBorder="1" applyAlignment="1">
      <alignment horizontal="left" vertical="center"/>
    </xf>
    <xf numFmtId="165" fontId="12" fillId="2" borderId="0" xfId="0" applyNumberFormat="1" applyFont="1" applyFill="1" applyBorder="1" applyAlignment="1">
      <alignment horizontal="left" vertical="center" wrapText="1"/>
    </xf>
    <xf numFmtId="164" fontId="28" fillId="2" borderId="0" xfId="0" applyNumberFormat="1" applyFont="1" applyFill="1" applyBorder="1" applyAlignment="1">
      <alignment vertical="center"/>
    </xf>
    <xf numFmtId="167" fontId="12" fillId="2" borderId="0" xfId="0" applyNumberFormat="1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left"/>
    </xf>
    <xf numFmtId="4" fontId="34" fillId="0" borderId="0" xfId="0" applyNumberFormat="1" applyFont="1" applyAlignment="1">
      <alignment horizontal="center"/>
    </xf>
    <xf numFmtId="164" fontId="33" fillId="0" borderId="0" xfId="0" applyNumberFormat="1" applyFont="1"/>
    <xf numFmtId="165" fontId="12" fillId="2" borderId="1" xfId="0" applyNumberFormat="1" applyFont="1" applyFill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164" fontId="17" fillId="0" borderId="1" xfId="0" applyNumberFormat="1" applyFont="1" applyFill="1" applyBorder="1" applyAlignment="1">
      <alignment vertical="center"/>
    </xf>
    <xf numFmtId="164" fontId="29" fillId="0" borderId="1" xfId="0" applyNumberFormat="1" applyFont="1" applyFill="1" applyBorder="1" applyAlignment="1">
      <alignment vertical="center"/>
    </xf>
    <xf numFmtId="43" fontId="0" fillId="0" borderId="0" xfId="0" applyNumberFormat="1"/>
    <xf numFmtId="1" fontId="0" fillId="0" borderId="0" xfId="0" applyNumberFormat="1"/>
    <xf numFmtId="164" fontId="17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167" fontId="13" fillId="0" borderId="1" xfId="0" applyNumberFormat="1" applyFont="1" applyFill="1" applyBorder="1" applyAlignment="1">
      <alignment horizontal="center"/>
    </xf>
    <xf numFmtId="4" fontId="8" fillId="0" borderId="0" xfId="0" applyNumberFormat="1" applyFont="1" applyFill="1"/>
    <xf numFmtId="164" fontId="31" fillId="0" borderId="1" xfId="0" applyNumberFormat="1" applyFont="1" applyFill="1" applyBorder="1" applyAlignment="1">
      <alignment vertical="center"/>
    </xf>
    <xf numFmtId="168" fontId="29" fillId="0" borderId="1" xfId="0" applyNumberFormat="1" applyFont="1" applyFill="1" applyBorder="1" applyAlignment="1">
      <alignment vertical="center"/>
    </xf>
    <xf numFmtId="164" fontId="28" fillId="0" borderId="1" xfId="0" applyNumberFormat="1" applyFont="1" applyFill="1" applyBorder="1" applyAlignment="1">
      <alignment vertical="center"/>
    </xf>
    <xf numFmtId="169" fontId="0" fillId="0" borderId="0" xfId="0" applyNumberFormat="1"/>
    <xf numFmtId="170" fontId="29" fillId="2" borderId="1" xfId="0" applyNumberFormat="1" applyFont="1" applyFill="1" applyBorder="1" applyAlignment="1">
      <alignment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29" fillId="0" borderId="1" xfId="0" applyNumberFormat="1" applyFont="1" applyFill="1" applyBorder="1" applyAlignment="1">
      <alignment horizontal="right" vertical="center"/>
    </xf>
    <xf numFmtId="167" fontId="8" fillId="2" borderId="0" xfId="0" applyNumberFormat="1" applyFont="1" applyFill="1"/>
    <xf numFmtId="164" fontId="17" fillId="4" borderId="1" xfId="0" applyNumberFormat="1" applyFont="1" applyFill="1" applyBorder="1" applyAlignment="1">
      <alignment vertical="center"/>
    </xf>
    <xf numFmtId="164" fontId="29" fillId="4" borderId="1" xfId="0" applyNumberFormat="1" applyFont="1" applyFill="1" applyBorder="1" applyAlignment="1">
      <alignment vertical="center"/>
    </xf>
    <xf numFmtId="168" fontId="28" fillId="2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40" fillId="2" borderId="0" xfId="0" applyNumberFormat="1" applyFont="1" applyFill="1" applyBorder="1" applyAlignment="1">
      <alignment horizontal="left" vertical="center" wrapText="1"/>
    </xf>
    <xf numFmtId="165" fontId="40" fillId="2" borderId="0" xfId="0" applyNumberFormat="1" applyFont="1" applyFill="1" applyBorder="1" applyAlignment="1">
      <alignment horizontal="left" vertical="center"/>
    </xf>
    <xf numFmtId="165" fontId="38" fillId="2" borderId="0" xfId="0" applyNumberFormat="1" applyFont="1" applyFill="1" applyBorder="1" applyAlignment="1">
      <alignment horizontal="left" vertical="center" wrapText="1"/>
    </xf>
    <xf numFmtId="164" fontId="39" fillId="2" borderId="0" xfId="0" applyNumberFormat="1" applyFont="1" applyFill="1" applyBorder="1" applyAlignment="1">
      <alignment vertical="center"/>
    </xf>
    <xf numFmtId="0" fontId="41" fillId="0" borderId="0" xfId="0" applyFont="1"/>
    <xf numFmtId="0" fontId="42" fillId="0" borderId="0" xfId="0" applyFont="1" applyAlignment="1">
      <alignment horizontal="left"/>
    </xf>
    <xf numFmtId="164" fontId="41" fillId="0" borderId="0" xfId="0" applyNumberFormat="1" applyFont="1"/>
    <xf numFmtId="0" fontId="43" fillId="0" borderId="0" xfId="0" applyFont="1"/>
    <xf numFmtId="0" fontId="43" fillId="0" borderId="0" xfId="0" applyFont="1" applyAlignment="1">
      <alignment horizontal="left"/>
    </xf>
    <xf numFmtId="0" fontId="44" fillId="0" borderId="0" xfId="0" applyFont="1"/>
    <xf numFmtId="0" fontId="44" fillId="0" borderId="0" xfId="0" applyFont="1" applyAlignment="1">
      <alignment horizontal="left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left" vertical="center" wrapText="1"/>
    </xf>
    <xf numFmtId="171" fontId="30" fillId="3" borderId="1" xfId="0" applyNumberFormat="1" applyFont="1" applyFill="1" applyBorder="1" applyAlignment="1">
      <alignment horizontal="center"/>
    </xf>
    <xf numFmtId="171" fontId="30" fillId="3" borderId="1" xfId="0" applyNumberFormat="1" applyFont="1" applyFill="1" applyBorder="1" applyAlignment="1">
      <alignment horizontal="center" wrapText="1"/>
    </xf>
    <xf numFmtId="171" fontId="30" fillId="2" borderId="1" xfId="0" applyNumberFormat="1" applyFont="1" applyFill="1" applyBorder="1" applyAlignment="1">
      <alignment horizontal="center"/>
    </xf>
    <xf numFmtId="171" fontId="17" fillId="2" borderId="1" xfId="0" applyNumberFormat="1" applyFont="1" applyFill="1" applyBorder="1" applyAlignment="1">
      <alignment horizontal="center" wrapText="1"/>
    </xf>
    <xf numFmtId="171" fontId="17" fillId="2" borderId="1" xfId="0" applyNumberFormat="1" applyFont="1" applyFill="1" applyBorder="1" applyAlignment="1">
      <alignment horizontal="center"/>
    </xf>
    <xf numFmtId="171" fontId="17" fillId="0" borderId="1" xfId="0" applyNumberFormat="1" applyFont="1" applyFill="1" applyBorder="1" applyAlignment="1">
      <alignment horizontal="center"/>
    </xf>
    <xf numFmtId="171" fontId="17" fillId="0" borderId="1" xfId="0" applyNumberFormat="1" applyFont="1" applyFill="1" applyBorder="1" applyAlignment="1">
      <alignment horizontal="center" wrapText="1"/>
    </xf>
    <xf numFmtId="0" fontId="43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/>
    </xf>
    <xf numFmtId="0" fontId="43" fillId="2" borderId="0" xfId="0" applyFont="1" applyFill="1" applyAlignment="1">
      <alignment horizontal="left"/>
    </xf>
    <xf numFmtId="0" fontId="44" fillId="2" borderId="0" xfId="0" applyFont="1" applyFill="1" applyAlignment="1">
      <alignment horizontal="left"/>
    </xf>
    <xf numFmtId="0" fontId="0" fillId="2" borderId="0" xfId="0" applyFill="1"/>
    <xf numFmtId="0" fontId="41" fillId="2" borderId="0" xfId="0" applyFont="1" applyFill="1"/>
    <xf numFmtId="0" fontId="44" fillId="2" borderId="0" xfId="0" applyFont="1" applyFill="1"/>
    <xf numFmtId="171" fontId="30" fillId="2" borderId="1" xfId="0" applyNumberFormat="1" applyFont="1" applyFill="1" applyBorder="1" applyAlignment="1">
      <alignment horizontal="center" wrapText="1"/>
    </xf>
    <xf numFmtId="172" fontId="48" fillId="0" borderId="0" xfId="0" applyNumberFormat="1" applyFont="1"/>
    <xf numFmtId="173" fontId="47" fillId="0" borderId="0" xfId="1" applyNumberFormat="1" applyFont="1"/>
    <xf numFmtId="173" fontId="46" fillId="2" borderId="0" xfId="1" applyNumberFormat="1" applyFont="1" applyFill="1"/>
    <xf numFmtId="173" fontId="49" fillId="2" borderId="0" xfId="0" applyNumberFormat="1" applyFont="1" applyFill="1"/>
    <xf numFmtId="0" fontId="50" fillId="0" borderId="0" xfId="0" applyFont="1" applyAlignment="1">
      <alignment horizontal="left"/>
    </xf>
    <xf numFmtId="173" fontId="19" fillId="0" borderId="0" xfId="1" applyNumberFormat="1" applyFont="1" applyAlignment="1">
      <alignment horizontal="center"/>
    </xf>
    <xf numFmtId="0" fontId="19" fillId="2" borderId="0" xfId="0" applyFont="1" applyFill="1" applyAlignment="1">
      <alignment horizontal="left"/>
    </xf>
    <xf numFmtId="0" fontId="19" fillId="2" borderId="0" xfId="0" applyFont="1" applyFill="1"/>
    <xf numFmtId="0" fontId="19" fillId="0" borderId="0" xfId="0" applyFont="1"/>
    <xf numFmtId="0" fontId="50" fillId="0" borderId="0" xfId="0" applyFont="1" applyAlignment="1">
      <alignment horizontal="center"/>
    </xf>
    <xf numFmtId="165" fontId="11" fillId="2" borderId="1" xfId="2" applyNumberFormat="1" applyFont="1" applyFill="1" applyBorder="1" applyAlignment="1">
      <alignment horizontal="left" vertical="center" wrapText="1"/>
    </xf>
    <xf numFmtId="165" fontId="9" fillId="2" borderId="1" xfId="2" applyNumberFormat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50" fillId="0" borderId="0" xfId="0" applyFont="1" applyAlignment="1">
      <alignment horizontal="left" wrapText="1"/>
    </xf>
    <xf numFmtId="171" fontId="17" fillId="3" borderId="1" xfId="0" applyNumberFormat="1" applyFont="1" applyFill="1" applyBorder="1" applyAlignment="1">
      <alignment horizontal="center"/>
    </xf>
    <xf numFmtId="0" fontId="8" fillId="2" borderId="7" xfId="0" applyFont="1" applyFill="1" applyBorder="1"/>
    <xf numFmtId="0" fontId="8" fillId="2" borderId="0" xfId="0" applyFont="1" applyFill="1" applyBorder="1"/>
    <xf numFmtId="0" fontId="8" fillId="2" borderId="10" xfId="0" applyFont="1" applyFill="1" applyBorder="1"/>
    <xf numFmtId="171" fontId="30" fillId="3" borderId="11" xfId="0" applyNumberFormat="1" applyFont="1" applyFill="1" applyBorder="1" applyAlignment="1">
      <alignment horizontal="center"/>
    </xf>
    <xf numFmtId="171" fontId="17" fillId="2" borderId="11" xfId="0" applyNumberFormat="1" applyFont="1" applyFill="1" applyBorder="1" applyAlignment="1">
      <alignment horizontal="center"/>
    </xf>
    <xf numFmtId="171" fontId="17" fillId="0" borderId="11" xfId="0" applyNumberFormat="1" applyFont="1" applyFill="1" applyBorder="1" applyAlignment="1">
      <alignment horizontal="center"/>
    </xf>
    <xf numFmtId="0" fontId="51" fillId="2" borderId="0" xfId="0" applyFont="1" applyFill="1" applyBorder="1"/>
    <xf numFmtId="0" fontId="51" fillId="2" borderId="10" xfId="0" applyFont="1" applyFill="1" applyBorder="1"/>
    <xf numFmtId="171" fontId="30" fillId="3" borderId="11" xfId="0" applyNumberFormat="1" applyFont="1" applyFill="1" applyBorder="1" applyAlignment="1">
      <alignment horizontal="center" wrapText="1"/>
    </xf>
    <xf numFmtId="171" fontId="17" fillId="2" borderId="11" xfId="0" applyNumberFormat="1" applyFont="1" applyFill="1" applyBorder="1" applyAlignment="1">
      <alignment horizontal="center" wrapText="1"/>
    </xf>
    <xf numFmtId="171" fontId="17" fillId="0" borderId="11" xfId="0" applyNumberFormat="1" applyFont="1" applyFill="1" applyBorder="1" applyAlignment="1">
      <alignment horizontal="center" wrapText="1"/>
    </xf>
    <xf numFmtId="0" fontId="57" fillId="2" borderId="10" xfId="0" applyFont="1" applyFill="1" applyBorder="1"/>
    <xf numFmtId="0" fontId="21" fillId="2" borderId="7" xfId="0" applyFont="1" applyFill="1" applyBorder="1"/>
    <xf numFmtId="0" fontId="21" fillId="2" borderId="0" xfId="0" applyFont="1" applyFill="1" applyBorder="1"/>
    <xf numFmtId="0" fontId="56" fillId="2" borderId="0" xfId="0" applyFont="1" applyFill="1" applyBorder="1"/>
    <xf numFmtId="0" fontId="21" fillId="2" borderId="10" xfId="0" applyFont="1" applyFill="1" applyBorder="1"/>
    <xf numFmtId="167" fontId="58" fillId="2" borderId="0" xfId="0" applyNumberFormat="1" applyFont="1" applyFill="1" applyBorder="1" applyAlignment="1">
      <alignment horizontal="left"/>
    </xf>
    <xf numFmtId="0" fontId="58" fillId="2" borderId="0" xfId="0" applyFont="1" applyFill="1" applyBorder="1" applyAlignment="1">
      <alignment horizontal="left"/>
    </xf>
    <xf numFmtId="0" fontId="58" fillId="2" borderId="10" xfId="0" applyFont="1" applyFill="1" applyBorder="1"/>
    <xf numFmtId="0" fontId="58" fillId="2" borderId="7" xfId="0" applyFont="1" applyFill="1" applyBorder="1"/>
    <xf numFmtId="0" fontId="58" fillId="2" borderId="0" xfId="0" applyFont="1" applyFill="1" applyBorder="1"/>
    <xf numFmtId="0" fontId="58" fillId="2" borderId="0" xfId="0" applyFont="1" applyFill="1"/>
    <xf numFmtId="171" fontId="30" fillId="3" borderId="1" xfId="0" applyNumberFormat="1" applyFont="1" applyFill="1" applyBorder="1" applyAlignment="1">
      <alignment horizontal="center" vertical="center" wrapText="1"/>
    </xf>
    <xf numFmtId="171" fontId="30" fillId="0" borderId="1" xfId="0" applyNumberFormat="1" applyFont="1" applyFill="1" applyBorder="1" applyAlignment="1">
      <alignment horizontal="center"/>
    </xf>
    <xf numFmtId="171" fontId="30" fillId="0" borderId="1" xfId="1" applyNumberFormat="1" applyFont="1" applyFill="1" applyBorder="1" applyAlignment="1">
      <alignment horizontal="center"/>
    </xf>
    <xf numFmtId="174" fontId="59" fillId="0" borderId="8" xfId="1" applyNumberFormat="1" applyFont="1" applyFill="1" applyBorder="1" applyAlignment="1">
      <alignment horizontal="left"/>
    </xf>
    <xf numFmtId="174" fontId="59" fillId="2" borderId="8" xfId="1" applyNumberFormat="1" applyFont="1" applyFill="1" applyBorder="1" applyAlignment="1">
      <alignment horizontal="left"/>
    </xf>
    <xf numFmtId="171" fontId="58" fillId="2" borderId="0" xfId="0" applyNumberFormat="1" applyFont="1" applyFill="1" applyBorder="1" applyAlignment="1">
      <alignment horizontal="left"/>
    </xf>
    <xf numFmtId="171" fontId="8" fillId="2" borderId="0" xfId="0" applyNumberFormat="1" applyFont="1" applyFill="1"/>
    <xf numFmtId="174" fontId="59" fillId="0" borderId="0" xfId="1" applyNumberFormat="1" applyFont="1"/>
    <xf numFmtId="174" fontId="59" fillId="0" borderId="0" xfId="1" applyNumberFormat="1" applyFont="1" applyAlignment="1">
      <alignment horizontal="center"/>
    </xf>
    <xf numFmtId="174" fontId="59" fillId="2" borderId="9" xfId="1" applyNumberFormat="1" applyFont="1" applyFill="1" applyBorder="1" applyAlignment="1">
      <alignment horizontal="left"/>
    </xf>
    <xf numFmtId="174" fontId="59" fillId="2" borderId="0" xfId="1" applyNumberFormat="1" applyFont="1" applyFill="1"/>
    <xf numFmtId="174" fontId="59" fillId="2" borderId="8" xfId="1" applyNumberFormat="1" applyFont="1" applyFill="1" applyBorder="1"/>
    <xf numFmtId="174" fontId="59" fillId="0" borderId="8" xfId="1" applyNumberFormat="1" applyFont="1" applyFill="1" applyBorder="1"/>
    <xf numFmtId="174" fontId="59" fillId="2" borderId="9" xfId="1" applyNumberFormat="1" applyFont="1" applyFill="1" applyBorder="1"/>
    <xf numFmtId="174" fontId="59" fillId="2" borderId="6" xfId="1" applyNumberFormat="1" applyFont="1" applyFill="1" applyBorder="1"/>
    <xf numFmtId="174" fontId="59" fillId="2" borderId="6" xfId="1" applyNumberFormat="1" applyFont="1" applyFill="1" applyBorder="1" applyAlignment="1">
      <alignment horizontal="left"/>
    </xf>
    <xf numFmtId="174" fontId="59" fillId="4" borderId="0" xfId="1" applyNumberFormat="1" applyFont="1" applyFill="1"/>
    <xf numFmtId="174" fontId="60" fillId="2" borderId="0" xfId="1" applyNumberFormat="1" applyFont="1" applyFill="1"/>
    <xf numFmtId="174" fontId="61" fillId="0" borderId="0" xfId="1" applyNumberFormat="1" applyFont="1"/>
    <xf numFmtId="174" fontId="43" fillId="0" borderId="0" xfId="1" applyNumberFormat="1" applyFont="1"/>
    <xf numFmtId="171" fontId="30" fillId="0" borderId="1" xfId="0" applyNumberFormat="1" applyFont="1" applyFill="1" applyBorder="1" applyAlignment="1">
      <alignment horizontal="center" wrapText="1"/>
    </xf>
    <xf numFmtId="171" fontId="17" fillId="0" borderId="1" xfId="0" applyNumberFormat="1" applyFont="1" applyFill="1" applyBorder="1" applyAlignment="1">
      <alignment horizontal="center" vertical="center"/>
    </xf>
    <xf numFmtId="174" fontId="59" fillId="4" borderId="8" xfId="1" applyNumberFormat="1" applyFont="1" applyFill="1" applyBorder="1" applyAlignment="1">
      <alignment horizontal="left"/>
    </xf>
    <xf numFmtId="171" fontId="58" fillId="4" borderId="0" xfId="0" applyNumberFormat="1" applyFont="1" applyFill="1" applyBorder="1" applyAlignment="1">
      <alignment horizontal="left"/>
    </xf>
    <xf numFmtId="0" fontId="8" fillId="4" borderId="0" xfId="0" applyFont="1" applyFill="1"/>
    <xf numFmtId="165" fontId="11" fillId="0" borderId="1" xfId="0" applyNumberFormat="1" applyFont="1" applyFill="1" applyBorder="1" applyAlignment="1">
      <alignment horizontal="left" vertical="center" wrapText="1"/>
    </xf>
    <xf numFmtId="174" fontId="64" fillId="2" borderId="0" xfId="1" applyNumberFormat="1" applyFont="1" applyFill="1"/>
    <xf numFmtId="174" fontId="64" fillId="2" borderId="9" xfId="1" applyNumberFormat="1" applyFont="1" applyFill="1" applyBorder="1"/>
    <xf numFmtId="0" fontId="22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top"/>
    </xf>
    <xf numFmtId="2" fontId="17" fillId="0" borderId="0" xfId="0" applyNumberFormat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4" fontId="24" fillId="2" borderId="0" xfId="0" applyNumberFormat="1" applyFont="1" applyFill="1" applyBorder="1" applyAlignment="1">
      <alignment horizontal="left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165" fontId="2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165" fontId="20" fillId="2" borderId="1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/>
    </xf>
    <xf numFmtId="165" fontId="32" fillId="2" borderId="1" xfId="0" applyNumberFormat="1" applyFont="1" applyFill="1" applyBorder="1" applyAlignment="1">
      <alignment horizontal="left" vertical="center" wrapText="1"/>
    </xf>
    <xf numFmtId="165" fontId="32" fillId="2" borderId="1" xfId="0" applyNumberFormat="1" applyFont="1" applyFill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left"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165" fontId="24" fillId="0" borderId="2" xfId="0" applyNumberFormat="1" applyFont="1" applyFill="1" applyBorder="1" applyAlignment="1">
      <alignment horizontal="center" vertical="center" wrapText="1"/>
    </xf>
    <xf numFmtId="165" fontId="24" fillId="0" borderId="3" xfId="0" applyNumberFormat="1" applyFont="1" applyFill="1" applyBorder="1" applyAlignment="1">
      <alignment horizontal="center" vertical="center" wrapText="1"/>
    </xf>
    <xf numFmtId="165" fontId="24" fillId="0" borderId="4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 wrapText="1"/>
    </xf>
    <xf numFmtId="0" fontId="58" fillId="2" borderId="6" xfId="0" applyFont="1" applyFill="1" applyBorder="1" applyAlignment="1">
      <alignment horizontal="center"/>
    </xf>
    <xf numFmtId="0" fontId="58" fillId="2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49" fontId="24" fillId="2" borderId="4" xfId="0" applyNumberFormat="1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164" fontId="24" fillId="0" borderId="2" xfId="2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 wrapText="1"/>
    </xf>
    <xf numFmtId="164" fontId="24" fillId="0" borderId="4" xfId="2" applyNumberFormat="1" applyFont="1" applyFill="1" applyBorder="1" applyAlignment="1">
      <alignment horizontal="center" vertical="center" wrapText="1"/>
    </xf>
    <xf numFmtId="4" fontId="58" fillId="2" borderId="6" xfId="0" applyNumberFormat="1" applyFont="1" applyFill="1" applyBorder="1" applyAlignment="1">
      <alignment horizontal="center"/>
    </xf>
    <xf numFmtId="4" fontId="58" fillId="2" borderId="7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 vertical="center" wrapText="1"/>
    </xf>
    <xf numFmtId="165" fontId="27" fillId="3" borderId="1" xfId="0" applyNumberFormat="1" applyFont="1" applyFill="1" applyBorder="1" applyAlignment="1">
      <alignment horizontal="left" vertical="center" wrapText="1"/>
    </xf>
    <xf numFmtId="165" fontId="27" fillId="3" borderId="1" xfId="0" applyNumberFormat="1" applyFont="1" applyFill="1" applyBorder="1" applyAlignment="1">
      <alignment horizontal="left" vertical="center"/>
    </xf>
    <xf numFmtId="49" fontId="24" fillId="2" borderId="4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/>
    </xf>
    <xf numFmtId="165" fontId="24" fillId="2" borderId="2" xfId="2" applyNumberFormat="1" applyFont="1" applyFill="1" applyBorder="1" applyAlignment="1">
      <alignment horizontal="center" vertical="center" wrapText="1"/>
    </xf>
    <xf numFmtId="165" fontId="24" fillId="2" borderId="3" xfId="2" applyNumberFormat="1" applyFont="1" applyFill="1" applyBorder="1" applyAlignment="1">
      <alignment horizontal="center" vertical="center" wrapText="1"/>
    </xf>
    <xf numFmtId="165" fontId="24" fillId="2" borderId="4" xfId="2" applyNumberFormat="1" applyFont="1" applyFill="1" applyBorder="1" applyAlignment="1">
      <alignment horizontal="center" vertical="center" wrapText="1"/>
    </xf>
    <xf numFmtId="164" fontId="24" fillId="0" borderId="1" xfId="2" applyNumberFormat="1" applyFont="1" applyFill="1" applyBorder="1" applyAlignment="1">
      <alignment horizontal="center" vertical="center" wrapText="1"/>
    </xf>
    <xf numFmtId="49" fontId="24" fillId="0" borderId="2" xfId="2" applyNumberFormat="1" applyFont="1" applyFill="1" applyBorder="1" applyAlignment="1">
      <alignment horizontal="left" vertical="center" wrapText="1"/>
    </xf>
    <xf numFmtId="49" fontId="24" fillId="0" borderId="3" xfId="2" applyNumberFormat="1" applyFont="1" applyFill="1" applyBorder="1" applyAlignment="1">
      <alignment horizontal="left" vertical="center" wrapText="1"/>
    </xf>
    <xf numFmtId="49" fontId="24" fillId="0" borderId="4" xfId="2" applyNumberFormat="1" applyFont="1" applyFill="1" applyBorder="1" applyAlignment="1">
      <alignment horizontal="left" vertical="center" wrapText="1"/>
    </xf>
    <xf numFmtId="165" fontId="24" fillId="0" borderId="1" xfId="2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49" fontId="24" fillId="2" borderId="2" xfId="2" applyNumberFormat="1" applyFont="1" applyFill="1" applyBorder="1" applyAlignment="1">
      <alignment horizontal="left" vertical="center" wrapText="1"/>
    </xf>
    <xf numFmtId="49" fontId="24" fillId="2" borderId="3" xfId="2" applyNumberFormat="1" applyFont="1" applyFill="1" applyBorder="1" applyAlignment="1">
      <alignment horizontal="left" vertical="center" wrapText="1"/>
    </xf>
    <xf numFmtId="49" fontId="24" fillId="2" borderId="4" xfId="2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50" fillId="2" borderId="0" xfId="0" applyFont="1" applyFill="1" applyBorder="1" applyAlignment="1">
      <alignment horizontal="left" vertical="center"/>
    </xf>
    <xf numFmtId="0" fontId="5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24" fillId="0" borderId="1" xfId="0" applyNumberFormat="1" applyFont="1" applyFill="1" applyBorder="1" applyAlignment="1">
      <alignment horizontal="center" vertical="center" wrapText="1"/>
    </xf>
    <xf numFmtId="173" fontId="63" fillId="0" borderId="0" xfId="1" applyNumberFormat="1" applyFont="1" applyAlignment="1">
      <alignment horizontal="center"/>
    </xf>
    <xf numFmtId="0" fontId="62" fillId="0" borderId="0" xfId="0" applyFont="1" applyAlignment="1">
      <alignment horizontal="center"/>
    </xf>
  </cellXfs>
  <cellStyles count="4">
    <cellStyle name="Обычный" xfId="0" builtinId="0"/>
    <cellStyle name="Обычный 2" xfId="3"/>
    <cellStyle name="Обычный 6" xfId="2"/>
    <cellStyle name="Финансовый" xfId="1" builtinId="3"/>
  </cellStyles>
  <dxfs count="0"/>
  <tableStyles count="0" defaultTableStyle="TableStyleMedium2" defaultPivotStyle="PivotStyleMedium9"/>
  <colors>
    <mruColors>
      <color rgb="FFFF66FF"/>
      <color rgb="FFCCFFFF"/>
      <color rgb="FFCCECFF"/>
      <color rgb="FFFF33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04"/>
  <sheetViews>
    <sheetView view="pageBreakPreview" topLeftCell="A19" zoomScale="60" zoomScaleNormal="100" workbookViewId="0">
      <pane xSplit="5" ySplit="2" topLeftCell="F21" activePane="bottomRight" state="frozen"/>
      <selection activeCell="A19" sqref="A19"/>
      <selection pane="topRight" activeCell="F19" sqref="F19"/>
      <selection pane="bottomLeft" activeCell="A21" sqref="A21"/>
      <selection pane="bottomRight" activeCell="E46" sqref="E46"/>
    </sheetView>
  </sheetViews>
  <sheetFormatPr defaultColWidth="9.140625" defaultRowHeight="17.25" x14ac:dyDescent="0.3"/>
  <cols>
    <col min="1" max="1" width="6.5703125" style="2" customWidth="1"/>
    <col min="2" max="2" width="59.7109375" style="33" customWidth="1"/>
    <col min="3" max="3" width="34.42578125" style="33" customWidth="1"/>
    <col min="4" max="4" width="27.7109375" style="2" customWidth="1"/>
    <col min="5" max="5" width="29.7109375" style="2" customWidth="1"/>
    <col min="6" max="6" width="23.5703125" style="2" customWidth="1"/>
    <col min="7" max="7" width="20" style="2" customWidth="1"/>
    <col min="8" max="8" width="20.28515625" style="2" customWidth="1"/>
    <col min="9" max="17" width="20.140625" style="2" customWidth="1"/>
    <col min="18" max="18" width="30.7109375" style="5" hidden="1" customWidth="1"/>
    <col min="19" max="19" width="14.28515625" style="2" bestFit="1" customWidth="1"/>
    <col min="20" max="20" width="20.42578125" style="2" customWidth="1"/>
    <col min="21" max="16384" width="9.140625" style="2"/>
  </cols>
  <sheetData>
    <row r="1" spans="1:19" s="11" customFormat="1" ht="21" customHeight="1" x14ac:dyDescent="0.3">
      <c r="A1" s="23"/>
      <c r="B1" s="24"/>
      <c r="C1" s="24"/>
      <c r="I1" s="23"/>
      <c r="J1" s="23"/>
      <c r="K1" s="23"/>
      <c r="L1" s="23"/>
      <c r="M1" s="25"/>
      <c r="N1" s="191" t="s">
        <v>31</v>
      </c>
      <c r="O1" s="191"/>
      <c r="P1" s="191"/>
      <c r="Q1" s="191"/>
      <c r="R1" s="26"/>
    </row>
    <row r="2" spans="1:19" s="11" customFormat="1" ht="44.25" customHeight="1" x14ac:dyDescent="0.3">
      <c r="A2" s="23"/>
      <c r="B2" s="27"/>
      <c r="C2" s="24"/>
      <c r="I2" s="23"/>
      <c r="J2" s="23"/>
      <c r="K2" s="23"/>
      <c r="L2" s="23"/>
      <c r="M2" s="25"/>
      <c r="N2" s="192" t="s">
        <v>53</v>
      </c>
      <c r="O2" s="192"/>
      <c r="P2" s="192"/>
      <c r="Q2" s="192"/>
      <c r="R2" s="29"/>
    </row>
    <row r="3" spans="1:19" s="11" customFormat="1" ht="62.25" customHeight="1" x14ac:dyDescent="0.35">
      <c r="A3" s="23"/>
      <c r="B3" s="27"/>
      <c r="C3" s="24"/>
      <c r="I3" s="23"/>
      <c r="J3" s="23"/>
      <c r="K3" s="23"/>
      <c r="L3" s="23"/>
      <c r="M3" s="25"/>
      <c r="N3" s="190" t="s">
        <v>54</v>
      </c>
      <c r="O3" s="190"/>
      <c r="P3" s="190"/>
      <c r="Q3" s="190"/>
      <c r="R3" s="29"/>
    </row>
    <row r="4" spans="1:19" s="11" customFormat="1" ht="23.25" customHeight="1" x14ac:dyDescent="0.3">
      <c r="A4" s="23"/>
      <c r="B4" s="24"/>
      <c r="C4" s="24"/>
      <c r="I4" s="23"/>
      <c r="J4" s="23"/>
      <c r="K4" s="23"/>
      <c r="L4" s="23"/>
      <c r="M4" s="25"/>
      <c r="N4" s="193" t="s">
        <v>32</v>
      </c>
      <c r="O4" s="193"/>
      <c r="P4" s="193"/>
      <c r="Q4" s="193"/>
      <c r="R4" s="29"/>
    </row>
    <row r="5" spans="1:19" s="11" customFormat="1" ht="33" customHeight="1" x14ac:dyDescent="0.3">
      <c r="A5" s="23"/>
      <c r="B5" s="24"/>
      <c r="C5" s="24"/>
      <c r="I5" s="23"/>
      <c r="J5" s="23"/>
      <c r="K5" s="23"/>
      <c r="L5" s="23"/>
      <c r="M5" s="25"/>
      <c r="N5" s="194" t="s">
        <v>46</v>
      </c>
      <c r="O5" s="194"/>
      <c r="P5" s="194"/>
      <c r="Q5" s="194"/>
      <c r="R5" s="30"/>
      <c r="S5" s="30"/>
    </row>
    <row r="6" spans="1:19" s="11" customFormat="1" ht="51" customHeight="1" x14ac:dyDescent="0.35">
      <c r="A6" s="23"/>
      <c r="B6" s="24"/>
      <c r="C6" s="24"/>
      <c r="I6" s="23"/>
      <c r="J6" s="23"/>
      <c r="K6" s="23"/>
      <c r="L6" s="23"/>
      <c r="M6" s="31"/>
      <c r="N6" s="195" t="s">
        <v>55</v>
      </c>
      <c r="O6" s="195"/>
      <c r="P6" s="195"/>
      <c r="Q6" s="195"/>
      <c r="R6" s="32"/>
    </row>
    <row r="7" spans="1:19" s="11" customFormat="1" ht="21.75" customHeight="1" x14ac:dyDescent="0.3">
      <c r="A7" s="23"/>
      <c r="B7" s="24"/>
      <c r="C7" s="24"/>
      <c r="I7" s="23"/>
      <c r="J7" s="23"/>
      <c r="K7" s="23"/>
      <c r="L7" s="23"/>
      <c r="M7" s="31"/>
      <c r="N7" s="193" t="s">
        <v>33</v>
      </c>
      <c r="O7" s="193"/>
      <c r="P7" s="193"/>
      <c r="Q7" s="193"/>
      <c r="R7" s="29"/>
    </row>
    <row r="8" spans="1:19" s="11" customFormat="1" ht="40.5" customHeight="1" x14ac:dyDescent="0.3">
      <c r="A8" s="23"/>
      <c r="B8" s="24"/>
      <c r="C8" s="24"/>
      <c r="I8" s="23"/>
      <c r="J8" s="23"/>
      <c r="K8" s="23"/>
      <c r="L8" s="23"/>
      <c r="M8" s="31"/>
      <c r="N8" s="192" t="s">
        <v>47</v>
      </c>
      <c r="O8" s="192"/>
      <c r="P8" s="192"/>
      <c r="Q8" s="192"/>
      <c r="R8" s="32"/>
    </row>
    <row r="9" spans="1:19" s="11" customFormat="1" ht="46.5" customHeight="1" x14ac:dyDescent="0.35">
      <c r="A9" s="23"/>
      <c r="B9" s="24"/>
      <c r="C9" s="24"/>
      <c r="I9" s="23"/>
      <c r="J9" s="23"/>
      <c r="K9" s="23"/>
      <c r="L9" s="23"/>
      <c r="M9" s="31"/>
      <c r="N9" s="195" t="s">
        <v>56</v>
      </c>
      <c r="O9" s="195"/>
      <c r="P9" s="195"/>
      <c r="Q9" s="195"/>
      <c r="R9" s="28"/>
      <c r="S9" s="28"/>
    </row>
    <row r="10" spans="1:19" s="11" customFormat="1" ht="24" customHeight="1" x14ac:dyDescent="0.3">
      <c r="A10" s="23"/>
      <c r="B10" s="24"/>
      <c r="C10" s="24"/>
      <c r="I10" s="23"/>
      <c r="J10" s="23"/>
      <c r="K10" s="23"/>
      <c r="L10" s="23"/>
      <c r="M10" s="31"/>
      <c r="N10" s="193" t="s">
        <v>33</v>
      </c>
      <c r="O10" s="193"/>
      <c r="P10" s="193"/>
      <c r="Q10" s="193"/>
      <c r="R10" s="29"/>
    </row>
    <row r="11" spans="1:19" s="11" customFormat="1" ht="30.75" customHeight="1" x14ac:dyDescent="0.3">
      <c r="A11" s="23"/>
      <c r="B11" s="24"/>
      <c r="C11" s="24"/>
      <c r="I11" s="23"/>
      <c r="J11" s="23"/>
      <c r="K11" s="23"/>
      <c r="L11" s="23"/>
      <c r="M11" s="31"/>
      <c r="N11" s="192" t="s">
        <v>48</v>
      </c>
      <c r="O11" s="192"/>
      <c r="P11" s="192"/>
      <c r="Q11" s="192"/>
      <c r="R11" s="32"/>
    </row>
    <row r="12" spans="1:19" s="11" customFormat="1" ht="51" customHeight="1" x14ac:dyDescent="0.5">
      <c r="A12" s="23"/>
      <c r="B12" s="24"/>
      <c r="C12" s="24"/>
      <c r="E12" s="41"/>
      <c r="F12" s="17"/>
      <c r="G12" s="17"/>
      <c r="I12" s="23"/>
      <c r="J12" s="23"/>
      <c r="K12" s="23"/>
      <c r="L12" s="23"/>
      <c r="M12" s="31"/>
      <c r="N12" s="190" t="s">
        <v>64</v>
      </c>
      <c r="O12" s="190"/>
      <c r="P12" s="190"/>
      <c r="Q12" s="190"/>
      <c r="R12" s="32"/>
    </row>
    <row r="13" spans="1:19" s="11" customFormat="1" ht="24" customHeight="1" x14ac:dyDescent="0.3">
      <c r="A13" s="23"/>
      <c r="B13" s="24"/>
      <c r="C13" s="24"/>
      <c r="I13" s="23"/>
      <c r="J13" s="23"/>
      <c r="K13" s="23"/>
      <c r="L13" s="23"/>
      <c r="M13" s="31"/>
      <c r="N13" s="193" t="s">
        <v>33</v>
      </c>
      <c r="O13" s="193"/>
      <c r="P13" s="193"/>
      <c r="Q13" s="193"/>
      <c r="R13" s="29"/>
    </row>
    <row r="14" spans="1:19" ht="19.5" customHeight="1" x14ac:dyDescent="0.3">
      <c r="A14" s="1"/>
      <c r="I14" s="1"/>
      <c r="J14" s="1"/>
      <c r="K14" s="1"/>
      <c r="L14" s="1"/>
      <c r="M14" s="8"/>
      <c r="N14" s="196" t="s">
        <v>68</v>
      </c>
      <c r="O14" s="196"/>
      <c r="P14" s="196"/>
      <c r="Q14" s="196"/>
      <c r="R14" s="9"/>
    </row>
    <row r="15" spans="1:19" ht="14.25" customHeight="1" x14ac:dyDescent="0.3">
      <c r="A15" s="1"/>
      <c r="B15" s="12"/>
      <c r="I15" s="1"/>
      <c r="J15" s="1"/>
      <c r="K15" s="1"/>
      <c r="L15" s="1"/>
      <c r="M15" s="6"/>
      <c r="N15" s="7"/>
      <c r="O15" s="7"/>
      <c r="P15" s="7"/>
      <c r="Q15" s="7"/>
    </row>
    <row r="16" spans="1:19" ht="31.5" customHeight="1" x14ac:dyDescent="0.3">
      <c r="A16" s="197" t="s">
        <v>34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</row>
    <row r="17" spans="1:20" ht="54" customHeight="1" x14ac:dyDescent="0.3">
      <c r="A17" s="198" t="s">
        <v>57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</row>
    <row r="18" spans="1:20" ht="27.75" customHeight="1" x14ac:dyDescent="0.3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00" t="s">
        <v>35</v>
      </c>
      <c r="Q18" s="200"/>
    </row>
    <row r="19" spans="1:20" s="11" customFormat="1" ht="28.5" customHeight="1" x14ac:dyDescent="0.3">
      <c r="A19" s="206" t="s">
        <v>39</v>
      </c>
      <c r="B19" s="206" t="s">
        <v>38</v>
      </c>
      <c r="C19" s="206" t="s">
        <v>40</v>
      </c>
      <c r="D19" s="206" t="s">
        <v>5</v>
      </c>
      <c r="E19" s="201" t="s">
        <v>18</v>
      </c>
      <c r="F19" s="201" t="s">
        <v>37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10"/>
    </row>
    <row r="20" spans="1:20" s="11" customFormat="1" ht="56.25" customHeight="1" x14ac:dyDescent="0.3">
      <c r="A20" s="206"/>
      <c r="B20" s="206"/>
      <c r="C20" s="206"/>
      <c r="D20" s="206"/>
      <c r="E20" s="201"/>
      <c r="F20" s="42" t="s">
        <v>19</v>
      </c>
      <c r="G20" s="42" t="s">
        <v>20</v>
      </c>
      <c r="H20" s="42" t="s">
        <v>21</v>
      </c>
      <c r="I20" s="42" t="s">
        <v>22</v>
      </c>
      <c r="J20" s="42" t="s">
        <v>23</v>
      </c>
      <c r="K20" s="89" t="s">
        <v>24</v>
      </c>
      <c r="L20" s="89" t="s">
        <v>25</v>
      </c>
      <c r="M20" s="89" t="s">
        <v>26</v>
      </c>
      <c r="N20" s="89" t="s">
        <v>27</v>
      </c>
      <c r="O20" s="89" t="s">
        <v>28</v>
      </c>
      <c r="P20" s="89" t="s">
        <v>29</v>
      </c>
      <c r="Q20" s="89" t="s">
        <v>30</v>
      </c>
      <c r="R20" s="43" t="s">
        <v>41</v>
      </c>
    </row>
    <row r="21" spans="1:20" s="15" customFormat="1" ht="18.75" x14ac:dyDescent="0.3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4"/>
    </row>
    <row r="22" spans="1:20" s="17" customFormat="1" ht="24" customHeight="1" x14ac:dyDescent="0.3">
      <c r="A22" s="202">
        <v>1</v>
      </c>
      <c r="B22" s="203" t="s">
        <v>11</v>
      </c>
      <c r="C22" s="204" t="s">
        <v>61</v>
      </c>
      <c r="D22" s="16" t="s">
        <v>0</v>
      </c>
      <c r="E22" s="44">
        <f>SUM(F22:Q22)</f>
        <v>442005.97091000003</v>
      </c>
      <c r="F22" s="44">
        <f>SUM(F23:F28)</f>
        <v>13982.034935</v>
      </c>
      <c r="G22" s="44">
        <f t="shared" ref="G22:Q22" si="0">SUM(G23:G28)</f>
        <v>50127.903429999998</v>
      </c>
      <c r="H22" s="44">
        <f t="shared" si="0"/>
        <v>38495.8626</v>
      </c>
      <c r="I22" s="44">
        <f t="shared" si="0"/>
        <v>38761.871460000002</v>
      </c>
      <c r="J22" s="44">
        <f t="shared" si="0"/>
        <v>40816.147539999998</v>
      </c>
      <c r="K22" s="44">
        <f t="shared" si="0"/>
        <v>37287.088089999997</v>
      </c>
      <c r="L22" s="44">
        <f t="shared" si="0"/>
        <v>38519.618515000002</v>
      </c>
      <c r="M22" s="44">
        <f t="shared" si="0"/>
        <v>32506.648150000001</v>
      </c>
      <c r="N22" s="44">
        <f t="shared" si="0"/>
        <v>33491.005644999997</v>
      </c>
      <c r="O22" s="44">
        <f t="shared" si="0"/>
        <v>32142.331539999999</v>
      </c>
      <c r="P22" s="44">
        <f t="shared" si="0"/>
        <v>27812.56695</v>
      </c>
      <c r="Q22" s="44">
        <f t="shared" si="0"/>
        <v>58062.892055000004</v>
      </c>
      <c r="R22" s="45">
        <f>R25+R28</f>
        <v>385360.86521999998</v>
      </c>
    </row>
    <row r="23" spans="1:20" s="17" customFormat="1" ht="26.25" customHeight="1" x14ac:dyDescent="0.3">
      <c r="A23" s="202"/>
      <c r="B23" s="203"/>
      <c r="C23" s="204"/>
      <c r="D23" s="18" t="s">
        <v>6</v>
      </c>
      <c r="E23" s="54">
        <f t="shared" ref="E23:E27" si="1">SUM(F23:Q23)</f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46"/>
    </row>
    <row r="24" spans="1:20" s="17" customFormat="1" ht="33.75" customHeight="1" x14ac:dyDescent="0.3">
      <c r="A24" s="202"/>
      <c r="B24" s="203"/>
      <c r="C24" s="204"/>
      <c r="D24" s="18" t="s">
        <v>7</v>
      </c>
      <c r="E24" s="54">
        <f t="shared" si="1"/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4"/>
      <c r="S24" s="75"/>
    </row>
    <row r="25" spans="1:20" s="17" customFormat="1" ht="22.5" customHeight="1" x14ac:dyDescent="0.3">
      <c r="A25" s="202"/>
      <c r="B25" s="203"/>
      <c r="C25" s="204"/>
      <c r="D25" s="18" t="s">
        <v>1</v>
      </c>
      <c r="E25" s="57">
        <f>SUM(F25:Q25)</f>
        <v>438016.99691000005</v>
      </c>
      <c r="F25" s="56">
        <v>13982.034935</v>
      </c>
      <c r="G25" s="56">
        <v>50127.903429999998</v>
      </c>
      <c r="H25" s="56">
        <v>38495.8626</v>
      </c>
      <c r="I25" s="56">
        <v>38761.871460000002</v>
      </c>
      <c r="J25" s="56">
        <v>40816.147539999998</v>
      </c>
      <c r="K25" s="69">
        <v>37287.088089999997</v>
      </c>
      <c r="L25" s="86">
        <f>42788.024635-8-76.08844-3377.31768-807</f>
        <v>38519.618515000002</v>
      </c>
      <c r="M25" s="69">
        <f>32506.64815</f>
        <v>32506.648150000001</v>
      </c>
      <c r="N25" s="69">
        <v>33491.005644999997</v>
      </c>
      <c r="O25" s="69">
        <v>32142.331539999999</v>
      </c>
      <c r="P25" s="69">
        <v>27812.56695</v>
      </c>
      <c r="Q25" s="86">
        <f>62041.777055-9553+1765.141-180</f>
        <v>54073.918055000002</v>
      </c>
      <c r="R25" s="76">
        <v>385360.86521999998</v>
      </c>
      <c r="S25" s="77">
        <v>442465.40302999999</v>
      </c>
      <c r="T25" s="85">
        <f>E25-S25</f>
        <v>-4448.4061199999414</v>
      </c>
    </row>
    <row r="26" spans="1:20" s="17" customFormat="1" ht="64.5" customHeight="1" x14ac:dyDescent="0.3">
      <c r="A26" s="202"/>
      <c r="B26" s="203"/>
      <c r="C26" s="204"/>
      <c r="D26" s="18" t="s">
        <v>2</v>
      </c>
      <c r="E26" s="54">
        <f t="shared" si="1"/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6"/>
      <c r="S26" s="75"/>
    </row>
    <row r="27" spans="1:20" s="17" customFormat="1" ht="26.25" customHeight="1" x14ac:dyDescent="0.3">
      <c r="A27" s="202"/>
      <c r="B27" s="203"/>
      <c r="C27" s="204"/>
      <c r="D27" s="18" t="s">
        <v>36</v>
      </c>
      <c r="E27" s="54">
        <f t="shared" si="1"/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6"/>
      <c r="S27" s="75"/>
    </row>
    <row r="28" spans="1:20" s="17" customFormat="1" ht="29.25" customHeight="1" x14ac:dyDescent="0.3">
      <c r="A28" s="202"/>
      <c r="B28" s="203"/>
      <c r="C28" s="204"/>
      <c r="D28" s="18" t="s">
        <v>4</v>
      </c>
      <c r="E28" s="57">
        <f>SUM(F28:Q28)</f>
        <v>3988.9740000000002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69">
        <v>0</v>
      </c>
      <c r="L28" s="69">
        <v>0</v>
      </c>
      <c r="M28" s="78">
        <v>0</v>
      </c>
      <c r="N28" s="69"/>
      <c r="O28" s="69"/>
      <c r="P28" s="69"/>
      <c r="Q28" s="70">
        <f>7953.478-455-1515.803-1993.701</f>
        <v>3988.9740000000002</v>
      </c>
      <c r="R28" s="76">
        <v>0</v>
      </c>
      <c r="S28" s="75"/>
    </row>
    <row r="29" spans="1:20" s="17" customFormat="1" ht="27.75" customHeight="1" x14ac:dyDescent="0.3">
      <c r="A29" s="202" t="s">
        <v>8</v>
      </c>
      <c r="B29" s="203" t="s">
        <v>12</v>
      </c>
      <c r="C29" s="205" t="s">
        <v>62</v>
      </c>
      <c r="D29" s="16" t="s">
        <v>0</v>
      </c>
      <c r="E29" s="44">
        <f>SUM(F29:Q29)</f>
        <v>533.33010000000002</v>
      </c>
      <c r="F29" s="44">
        <f>SUM(F30:F35)</f>
        <v>0</v>
      </c>
      <c r="G29" s="44">
        <f t="shared" ref="G29:Q29" si="2">SUM(G30:G35)</f>
        <v>83.333349999999996</v>
      </c>
      <c r="H29" s="44">
        <f t="shared" si="2"/>
        <v>0</v>
      </c>
      <c r="I29" s="44">
        <f t="shared" si="2"/>
        <v>0</v>
      </c>
      <c r="J29" s="44">
        <f t="shared" si="2"/>
        <v>0</v>
      </c>
      <c r="K29" s="44">
        <f t="shared" si="2"/>
        <v>0</v>
      </c>
      <c r="L29" s="44">
        <f t="shared" si="2"/>
        <v>32.9</v>
      </c>
      <c r="M29" s="44">
        <f t="shared" si="2"/>
        <v>83.33429000000001</v>
      </c>
      <c r="N29" s="44">
        <f t="shared" si="2"/>
        <v>217.09571</v>
      </c>
      <c r="O29" s="44">
        <f t="shared" si="2"/>
        <v>0</v>
      </c>
      <c r="P29" s="44">
        <f t="shared" si="2"/>
        <v>0</v>
      </c>
      <c r="Q29" s="44">
        <f t="shared" si="2"/>
        <v>116.66674999999999</v>
      </c>
      <c r="R29" s="45">
        <f>R32+R35</f>
        <v>341.06207000000001</v>
      </c>
      <c r="S29" s="48"/>
    </row>
    <row r="30" spans="1:20" s="17" customFormat="1" ht="25.5" customHeight="1" x14ac:dyDescent="0.3">
      <c r="A30" s="202"/>
      <c r="B30" s="203"/>
      <c r="C30" s="205"/>
      <c r="D30" s="18" t="s">
        <v>6</v>
      </c>
      <c r="E30" s="54">
        <f t="shared" ref="E30:E35" si="3">SUM(F30:Q30)</f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46"/>
    </row>
    <row r="31" spans="1:20" s="17" customFormat="1" ht="36" customHeight="1" x14ac:dyDescent="0.3">
      <c r="A31" s="202"/>
      <c r="B31" s="203"/>
      <c r="C31" s="205"/>
      <c r="D31" s="18" t="s">
        <v>7</v>
      </c>
      <c r="E31" s="54">
        <f t="shared" si="3"/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46"/>
    </row>
    <row r="32" spans="1:20" s="17" customFormat="1" ht="28.5" customHeight="1" x14ac:dyDescent="0.3">
      <c r="A32" s="202"/>
      <c r="B32" s="203"/>
      <c r="C32" s="205"/>
      <c r="D32" s="18" t="s">
        <v>1</v>
      </c>
      <c r="E32" s="54">
        <f t="shared" si="3"/>
        <v>533.33010000000002</v>
      </c>
      <c r="F32" s="56">
        <v>0</v>
      </c>
      <c r="G32" s="56">
        <v>83.333349999999996</v>
      </c>
      <c r="H32" s="56">
        <v>0</v>
      </c>
      <c r="I32" s="56">
        <v>0</v>
      </c>
      <c r="J32" s="56">
        <v>0</v>
      </c>
      <c r="K32" s="56">
        <v>0</v>
      </c>
      <c r="L32" s="86">
        <v>32.9</v>
      </c>
      <c r="M32" s="86">
        <f>116.23429-32.9</f>
        <v>83.33429000000001</v>
      </c>
      <c r="N32" s="56">
        <f>333.33-116.23429</f>
        <v>217.09571</v>
      </c>
      <c r="O32" s="56">
        <v>0</v>
      </c>
      <c r="P32" s="56">
        <v>0</v>
      </c>
      <c r="Q32" s="56">
        <v>116.66674999999999</v>
      </c>
      <c r="R32" s="47">
        <v>341.06207000000001</v>
      </c>
    </row>
    <row r="33" spans="1:19" s="17" customFormat="1" ht="58.5" customHeight="1" x14ac:dyDescent="0.3">
      <c r="A33" s="202"/>
      <c r="B33" s="203"/>
      <c r="C33" s="205"/>
      <c r="D33" s="18" t="s">
        <v>2</v>
      </c>
      <c r="E33" s="54">
        <f t="shared" si="3"/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47"/>
    </row>
    <row r="34" spans="1:19" s="17" customFormat="1" ht="25.5" customHeight="1" x14ac:dyDescent="0.3">
      <c r="A34" s="202"/>
      <c r="B34" s="203"/>
      <c r="C34" s="205"/>
      <c r="D34" s="18" t="s">
        <v>36</v>
      </c>
      <c r="E34" s="54">
        <f t="shared" si="3"/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47"/>
    </row>
    <row r="35" spans="1:19" s="17" customFormat="1" ht="29.25" customHeight="1" x14ac:dyDescent="0.3">
      <c r="A35" s="202"/>
      <c r="B35" s="203"/>
      <c r="C35" s="205"/>
      <c r="D35" s="18" t="s">
        <v>4</v>
      </c>
      <c r="E35" s="54">
        <f t="shared" si="3"/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47"/>
    </row>
    <row r="36" spans="1:19" s="17" customFormat="1" ht="28.5" customHeight="1" x14ac:dyDescent="0.3">
      <c r="A36" s="202" t="s">
        <v>9</v>
      </c>
      <c r="B36" s="203" t="s">
        <v>13</v>
      </c>
      <c r="C36" s="207" t="s">
        <v>52</v>
      </c>
      <c r="D36" s="16" t="s">
        <v>0</v>
      </c>
      <c r="E36" s="44">
        <f>SUM(F36:Q36)</f>
        <v>6182.1</v>
      </c>
      <c r="F36" s="44">
        <f>SUM(F37:F42)</f>
        <v>42.245739999999991</v>
      </c>
      <c r="G36" s="44">
        <f t="shared" ref="G36:Q36" si="4">SUM(G37:G42)</f>
        <v>533.81740000000002</v>
      </c>
      <c r="H36" s="44">
        <f t="shared" si="4"/>
        <v>952.77320999999995</v>
      </c>
      <c r="I36" s="44">
        <f t="shared" si="4"/>
        <v>529.66009999999994</v>
      </c>
      <c r="J36" s="44">
        <f t="shared" si="4"/>
        <v>277.30900000000003</v>
      </c>
      <c r="K36" s="44">
        <f t="shared" si="4"/>
        <v>687.46</v>
      </c>
      <c r="L36" s="44">
        <f t="shared" si="4"/>
        <v>1283.94415</v>
      </c>
      <c r="M36" s="44">
        <f t="shared" si="4"/>
        <v>629.71699999999998</v>
      </c>
      <c r="N36" s="44">
        <f t="shared" si="4"/>
        <v>264.18900000000002</v>
      </c>
      <c r="O36" s="44">
        <f t="shared" si="4"/>
        <v>254.03699999999998</v>
      </c>
      <c r="P36" s="44">
        <f t="shared" si="4"/>
        <v>642.18541000000005</v>
      </c>
      <c r="Q36" s="44">
        <f t="shared" si="4"/>
        <v>84.761989999999997</v>
      </c>
      <c r="R36" s="45">
        <f>R37+R38+R41</f>
        <v>7616.5969999999998</v>
      </c>
    </row>
    <row r="37" spans="1:19" s="17" customFormat="1" ht="32.25" customHeight="1" x14ac:dyDescent="0.3">
      <c r="A37" s="202"/>
      <c r="B37" s="203"/>
      <c r="C37" s="207"/>
      <c r="D37" s="18" t="s">
        <v>6</v>
      </c>
      <c r="E37" s="54">
        <f t="shared" ref="E37:E42" si="5">SUM(F37:Q37)</f>
        <v>5128.2</v>
      </c>
      <c r="F37" s="79">
        <f>0.075+32.74</f>
        <v>32.815000000000005</v>
      </c>
      <c r="G37" s="70">
        <f>532.075-107.5276</f>
        <v>424.54740000000004</v>
      </c>
      <c r="H37" s="70">
        <f>346.605+136.17+349.66921</f>
        <v>832.44421</v>
      </c>
      <c r="I37" s="70">
        <f>322.945+21.84+134.7</f>
        <v>479.48499999999996</v>
      </c>
      <c r="J37" s="69">
        <f>213.709+39</f>
        <v>252.709</v>
      </c>
      <c r="K37" s="69">
        <f>503.241+148.2</f>
        <v>651.44100000000003</v>
      </c>
      <c r="L37" s="87">
        <f>960.901+211.953-45.23885+70</f>
        <v>1197.6151500000001</v>
      </c>
      <c r="M37" s="87">
        <f>680.15+19.567-70</f>
        <v>629.71699999999998</v>
      </c>
      <c r="N37" s="69">
        <f>73.675+11.695+167.399</f>
        <v>252.76900000000001</v>
      </c>
      <c r="O37" s="70">
        <f>0.075+32</f>
        <v>32.075000000000003</v>
      </c>
      <c r="P37" s="70">
        <f>550.375+11.7-254.60575</f>
        <v>307.46925000000005</v>
      </c>
      <c r="Q37" s="69">
        <v>35.112990000000003</v>
      </c>
      <c r="R37" s="47">
        <v>4852.6000000000004</v>
      </c>
    </row>
    <row r="38" spans="1:19" s="17" customFormat="1" ht="36" customHeight="1" x14ac:dyDescent="0.3">
      <c r="A38" s="202"/>
      <c r="B38" s="203"/>
      <c r="C38" s="207"/>
      <c r="D38" s="18" t="s">
        <v>7</v>
      </c>
      <c r="E38" s="54">
        <f t="shared" si="5"/>
        <v>1053.9000000000001</v>
      </c>
      <c r="F38" s="79">
        <f>159.6+70.285-220.45426</f>
        <v>9.4307399999999859</v>
      </c>
      <c r="G38" s="79">
        <f>65.37+48.4-4.5</f>
        <v>109.27000000000001</v>
      </c>
      <c r="H38" s="79">
        <v>120.32899999999999</v>
      </c>
      <c r="I38" s="79">
        <v>50.1751</v>
      </c>
      <c r="J38" s="79">
        <v>24.6</v>
      </c>
      <c r="K38" s="69">
        <f>24.6+11.419</f>
        <v>36.019000000000005</v>
      </c>
      <c r="L38" s="87">
        <f>20.91+5.419+60</f>
        <v>86.329000000000008</v>
      </c>
      <c r="M38" s="70">
        <v>0</v>
      </c>
      <c r="N38" s="70">
        <v>11.42</v>
      </c>
      <c r="O38" s="87">
        <f>281.962-60</f>
        <v>221.96199999999999</v>
      </c>
      <c r="P38" s="70">
        <v>334.71616</v>
      </c>
      <c r="Q38" s="70">
        <v>49.649000000000001</v>
      </c>
      <c r="R38" s="47">
        <f>469.8+1147.097</f>
        <v>1616.8969999999999</v>
      </c>
      <c r="S38" s="34"/>
    </row>
    <row r="39" spans="1:19" s="17" customFormat="1" ht="22.5" customHeight="1" x14ac:dyDescent="0.3">
      <c r="A39" s="202"/>
      <c r="B39" s="203"/>
      <c r="C39" s="207"/>
      <c r="D39" s="18" t="s">
        <v>1</v>
      </c>
      <c r="E39" s="54">
        <f t="shared" si="5"/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/>
      <c r="R39" s="47"/>
    </row>
    <row r="40" spans="1:19" s="17" customFormat="1" ht="56.25" x14ac:dyDescent="0.3">
      <c r="A40" s="202"/>
      <c r="B40" s="203"/>
      <c r="C40" s="207"/>
      <c r="D40" s="18" t="s">
        <v>2</v>
      </c>
      <c r="E40" s="54">
        <f t="shared" si="5"/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47"/>
    </row>
    <row r="41" spans="1:19" s="17" customFormat="1" ht="28.5" customHeight="1" x14ac:dyDescent="0.3">
      <c r="A41" s="202"/>
      <c r="B41" s="203"/>
      <c r="C41" s="207"/>
      <c r="D41" s="18" t="s">
        <v>36</v>
      </c>
      <c r="E41" s="54">
        <f t="shared" si="5"/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47">
        <v>1147.0999999999999</v>
      </c>
    </row>
    <row r="42" spans="1:19" s="17" customFormat="1" ht="27.75" customHeight="1" x14ac:dyDescent="0.3">
      <c r="A42" s="202"/>
      <c r="B42" s="203"/>
      <c r="C42" s="207"/>
      <c r="D42" s="18" t="s">
        <v>4</v>
      </c>
      <c r="E42" s="54">
        <f t="shared" si="5"/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46"/>
    </row>
    <row r="43" spans="1:19" s="17" customFormat="1" ht="27.75" customHeight="1" x14ac:dyDescent="0.3">
      <c r="A43" s="202" t="s">
        <v>10</v>
      </c>
      <c r="B43" s="203" t="s">
        <v>14</v>
      </c>
      <c r="C43" s="208" t="s">
        <v>65</v>
      </c>
      <c r="D43" s="16" t="s">
        <v>0</v>
      </c>
      <c r="E43" s="44">
        <f>SUM(F43:Q43)</f>
        <v>5126.5684699999993</v>
      </c>
      <c r="F43" s="44">
        <f>SUM(F44:F49)</f>
        <v>0</v>
      </c>
      <c r="G43" s="44">
        <f t="shared" ref="G43:Q43" si="6">SUM(G44:G49)</f>
        <v>443.56279999999998</v>
      </c>
      <c r="H43" s="44">
        <f t="shared" si="6"/>
        <v>498.56279999999998</v>
      </c>
      <c r="I43" s="44">
        <f t="shared" si="6"/>
        <v>460.56279999999998</v>
      </c>
      <c r="J43" s="44">
        <f t="shared" si="6"/>
        <v>405.56279999999998</v>
      </c>
      <c r="K43" s="44">
        <f t="shared" si="6"/>
        <v>436.14814999999999</v>
      </c>
      <c r="L43" s="44">
        <f t="shared" si="6"/>
        <v>561.5258</v>
      </c>
      <c r="M43" s="44">
        <f t="shared" si="6"/>
        <v>381.92579999999998</v>
      </c>
      <c r="N43" s="44">
        <f t="shared" si="6"/>
        <v>635.52332000000001</v>
      </c>
      <c r="O43" s="44">
        <f t="shared" si="6"/>
        <v>451.92579999999998</v>
      </c>
      <c r="P43" s="44">
        <f t="shared" si="6"/>
        <v>523.92579999999998</v>
      </c>
      <c r="Q43" s="44">
        <f t="shared" si="6"/>
        <v>327.34259999999995</v>
      </c>
      <c r="R43" s="45">
        <f>R45+R46+R49</f>
        <v>7462.5356499999998</v>
      </c>
    </row>
    <row r="44" spans="1:19" s="17" customFormat="1" ht="23.25" customHeight="1" x14ac:dyDescent="0.3">
      <c r="A44" s="202"/>
      <c r="B44" s="203"/>
      <c r="C44" s="208"/>
      <c r="D44" s="18" t="s">
        <v>6</v>
      </c>
      <c r="E44" s="54">
        <f t="shared" ref="E44:E49" si="7">SUM(F44:Q44)</f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46"/>
    </row>
    <row r="45" spans="1:19" s="17" customFormat="1" ht="36.75" customHeight="1" x14ac:dyDescent="0.3">
      <c r="A45" s="202"/>
      <c r="B45" s="203"/>
      <c r="C45" s="208"/>
      <c r="D45" s="18" t="s">
        <v>7</v>
      </c>
      <c r="E45" s="54">
        <f>SUM(F45:Q45)</f>
        <v>179.6</v>
      </c>
      <c r="F45" s="55">
        <v>0</v>
      </c>
      <c r="G45" s="55">
        <v>0</v>
      </c>
      <c r="H45" s="55">
        <v>0</v>
      </c>
      <c r="I45" s="55"/>
      <c r="J45" s="55">
        <v>0</v>
      </c>
      <c r="K45" s="55">
        <v>0</v>
      </c>
      <c r="L45" s="55">
        <v>179.6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47">
        <v>175.3</v>
      </c>
    </row>
    <row r="46" spans="1:19" s="17" customFormat="1" ht="26.25" customHeight="1" x14ac:dyDescent="0.3">
      <c r="A46" s="202"/>
      <c r="B46" s="203"/>
      <c r="C46" s="208"/>
      <c r="D46" s="18" t="s">
        <v>1</v>
      </c>
      <c r="E46" s="57">
        <f>SUM(F46:Q46)</f>
        <v>4946.9684699999998</v>
      </c>
      <c r="F46" s="82">
        <v>0</v>
      </c>
      <c r="G46" s="55">
        <v>443.56279999999998</v>
      </c>
      <c r="H46" s="55">
        <v>498.56279999999998</v>
      </c>
      <c r="I46" s="55">
        <v>460.56279999999998</v>
      </c>
      <c r="J46" s="55">
        <v>405.56279999999998</v>
      </c>
      <c r="K46" s="55">
        <v>436.14814999999999</v>
      </c>
      <c r="L46" s="55">
        <v>381.92579999999998</v>
      </c>
      <c r="M46" s="55">
        <v>381.92579999999998</v>
      </c>
      <c r="N46" s="55">
        <v>635.52332000000001</v>
      </c>
      <c r="O46" s="55">
        <v>451.92579999999998</v>
      </c>
      <c r="P46" s="55">
        <v>523.92579999999998</v>
      </c>
      <c r="Q46" s="87">
        <f>1557.3426-1230</f>
        <v>327.34259999999995</v>
      </c>
      <c r="R46" s="47">
        <v>7287.2356499999996</v>
      </c>
    </row>
    <row r="47" spans="1:19" s="17" customFormat="1" ht="51" customHeight="1" x14ac:dyDescent="0.3">
      <c r="A47" s="202"/>
      <c r="B47" s="203"/>
      <c r="C47" s="208"/>
      <c r="D47" s="18" t="s">
        <v>2</v>
      </c>
      <c r="E47" s="54">
        <f t="shared" si="7"/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47"/>
    </row>
    <row r="48" spans="1:19" s="17" customFormat="1" ht="33.75" customHeight="1" x14ac:dyDescent="0.3">
      <c r="A48" s="202"/>
      <c r="B48" s="203"/>
      <c r="C48" s="208"/>
      <c r="D48" s="18" t="s">
        <v>36</v>
      </c>
      <c r="E48" s="54">
        <f t="shared" si="7"/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47"/>
    </row>
    <row r="49" spans="1:18" s="17" customFormat="1" ht="35.25" customHeight="1" x14ac:dyDescent="0.3">
      <c r="A49" s="202"/>
      <c r="B49" s="203"/>
      <c r="C49" s="208"/>
      <c r="D49" s="18" t="s">
        <v>4</v>
      </c>
      <c r="E49" s="54">
        <f t="shared" si="7"/>
        <v>0</v>
      </c>
      <c r="F49" s="56">
        <v>0</v>
      </c>
      <c r="G49" s="56">
        <v>0</v>
      </c>
      <c r="H49" s="56">
        <v>0</v>
      </c>
      <c r="I49" s="49">
        <v>0</v>
      </c>
      <c r="J49" s="56">
        <v>0</v>
      </c>
      <c r="K49" s="56"/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47"/>
    </row>
    <row r="50" spans="1:18" s="17" customFormat="1" ht="24" customHeight="1" x14ac:dyDescent="0.3">
      <c r="A50" s="202" t="s">
        <v>42</v>
      </c>
      <c r="B50" s="203" t="s">
        <v>15</v>
      </c>
      <c r="C50" s="209" t="s">
        <v>51</v>
      </c>
      <c r="D50" s="19" t="s">
        <v>0</v>
      </c>
      <c r="E50" s="44">
        <f>SUM(F50:Q50)</f>
        <v>1385</v>
      </c>
      <c r="F50" s="50">
        <f>SUM(F51:F56)</f>
        <v>0</v>
      </c>
      <c r="G50" s="50">
        <f t="shared" ref="G50:Q50" si="8">SUM(G51:G56)</f>
        <v>94</v>
      </c>
      <c r="H50" s="50">
        <f t="shared" si="8"/>
        <v>180</v>
      </c>
      <c r="I50" s="50">
        <f t="shared" si="8"/>
        <v>131</v>
      </c>
      <c r="J50" s="50">
        <f t="shared" si="8"/>
        <v>150</v>
      </c>
      <c r="K50" s="50">
        <f t="shared" si="8"/>
        <v>51</v>
      </c>
      <c r="L50" s="50">
        <f t="shared" si="8"/>
        <v>130</v>
      </c>
      <c r="M50" s="50">
        <f t="shared" si="8"/>
        <v>74</v>
      </c>
      <c r="N50" s="50">
        <f t="shared" si="8"/>
        <v>495</v>
      </c>
      <c r="O50" s="50">
        <f t="shared" si="8"/>
        <v>80</v>
      </c>
      <c r="P50" s="50">
        <f t="shared" si="8"/>
        <v>0</v>
      </c>
      <c r="Q50" s="50">
        <f t="shared" si="8"/>
        <v>0</v>
      </c>
      <c r="R50" s="45">
        <f>R53+R56</f>
        <v>833.9</v>
      </c>
    </row>
    <row r="51" spans="1:18" s="17" customFormat="1" ht="22.5" customHeight="1" x14ac:dyDescent="0.3">
      <c r="A51" s="202"/>
      <c r="B51" s="203"/>
      <c r="C51" s="209"/>
      <c r="D51" s="20" t="s">
        <v>6</v>
      </c>
      <c r="E51" s="54">
        <f t="shared" ref="E51:E56" si="9">SUM(F51:Q51)</f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46"/>
    </row>
    <row r="52" spans="1:18" s="17" customFormat="1" ht="41.25" customHeight="1" x14ac:dyDescent="0.3">
      <c r="A52" s="202"/>
      <c r="B52" s="203"/>
      <c r="C52" s="209"/>
      <c r="D52" s="20" t="s">
        <v>7</v>
      </c>
      <c r="E52" s="54">
        <f t="shared" si="9"/>
        <v>0</v>
      </c>
      <c r="F52" s="51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51">
        <v>0</v>
      </c>
      <c r="Q52" s="51">
        <v>0</v>
      </c>
      <c r="R52" s="46"/>
    </row>
    <row r="53" spans="1:18" s="17" customFormat="1" ht="22.5" customHeight="1" x14ac:dyDescent="0.3">
      <c r="A53" s="202"/>
      <c r="B53" s="203"/>
      <c r="C53" s="209"/>
      <c r="D53" s="20" t="s">
        <v>1</v>
      </c>
      <c r="E53" s="54">
        <f t="shared" si="9"/>
        <v>1385</v>
      </c>
      <c r="F53" s="73"/>
      <c r="G53" s="73">
        <f>29+65</f>
        <v>94</v>
      </c>
      <c r="H53" s="51">
        <f>30+105+30+15</f>
        <v>180</v>
      </c>
      <c r="I53" s="51">
        <f>50+37+20+24</f>
        <v>131</v>
      </c>
      <c r="J53" s="51">
        <f>60+70+20</f>
        <v>150</v>
      </c>
      <c r="K53" s="51">
        <f>20+15+16</f>
        <v>51</v>
      </c>
      <c r="L53" s="83">
        <f>30+100</f>
        <v>130</v>
      </c>
      <c r="M53" s="51">
        <f>20+54</f>
        <v>74</v>
      </c>
      <c r="N53" s="83">
        <f>60+20+15+500-100</f>
        <v>495</v>
      </c>
      <c r="O53" s="51">
        <f>45+30+5</f>
        <v>80</v>
      </c>
      <c r="P53" s="51">
        <v>0</v>
      </c>
      <c r="Q53" s="51">
        <v>0</v>
      </c>
      <c r="R53" s="47">
        <f>310+108.9+205</f>
        <v>623.9</v>
      </c>
    </row>
    <row r="54" spans="1:18" s="17" customFormat="1" ht="60" customHeight="1" x14ac:dyDescent="0.3">
      <c r="A54" s="202"/>
      <c r="B54" s="203"/>
      <c r="C54" s="209"/>
      <c r="D54" s="20" t="s">
        <v>2</v>
      </c>
      <c r="E54" s="54">
        <f t="shared" si="9"/>
        <v>0</v>
      </c>
      <c r="F54" s="51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51">
        <v>0</v>
      </c>
      <c r="Q54" s="51">
        <v>0</v>
      </c>
      <c r="R54" s="47"/>
    </row>
    <row r="55" spans="1:18" s="17" customFormat="1" ht="33.75" customHeight="1" x14ac:dyDescent="0.3">
      <c r="A55" s="202"/>
      <c r="B55" s="203"/>
      <c r="C55" s="209"/>
      <c r="D55" s="18" t="s">
        <v>36</v>
      </c>
      <c r="E55" s="54">
        <f t="shared" si="9"/>
        <v>0</v>
      </c>
      <c r="F55" s="55">
        <v>0</v>
      </c>
      <c r="G55" s="70">
        <v>0</v>
      </c>
      <c r="H55" s="84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55">
        <v>0</v>
      </c>
      <c r="Q55" s="55">
        <v>0</v>
      </c>
      <c r="R55" s="47"/>
    </row>
    <row r="56" spans="1:18" s="17" customFormat="1" ht="22.5" customHeight="1" x14ac:dyDescent="0.3">
      <c r="A56" s="202"/>
      <c r="B56" s="203"/>
      <c r="C56" s="209"/>
      <c r="D56" s="20" t="s">
        <v>4</v>
      </c>
      <c r="E56" s="54">
        <f t="shared" si="9"/>
        <v>0</v>
      </c>
      <c r="F56" s="51">
        <v>0</v>
      </c>
      <c r="G56" s="73">
        <f>65-65</f>
        <v>0</v>
      </c>
      <c r="H56" s="51">
        <f>15-15</f>
        <v>0</v>
      </c>
      <c r="I56" s="51">
        <f>24-24</f>
        <v>0</v>
      </c>
      <c r="J56" s="51">
        <v>0</v>
      </c>
      <c r="K56" s="51">
        <f>16-16</f>
        <v>0</v>
      </c>
      <c r="L56" s="51">
        <v>0</v>
      </c>
      <c r="M56" s="51">
        <v>0</v>
      </c>
      <c r="N56" s="51">
        <v>0</v>
      </c>
      <c r="O56" s="51">
        <f>5-5</f>
        <v>0</v>
      </c>
      <c r="P56" s="51">
        <v>0</v>
      </c>
      <c r="Q56" s="73"/>
      <c r="R56" s="47">
        <f>90+60+60</f>
        <v>210</v>
      </c>
    </row>
    <row r="57" spans="1:18" s="17" customFormat="1" ht="22.5" customHeight="1" x14ac:dyDescent="0.3">
      <c r="A57" s="202" t="s">
        <v>43</v>
      </c>
      <c r="B57" s="203" t="s">
        <v>16</v>
      </c>
      <c r="C57" s="209" t="s">
        <v>51</v>
      </c>
      <c r="D57" s="19" t="s">
        <v>0</v>
      </c>
      <c r="E57" s="44">
        <f>SUM(F57:Q57)</f>
        <v>60</v>
      </c>
      <c r="F57" s="50">
        <f>SUM(F58:F63)</f>
        <v>0</v>
      </c>
      <c r="G57" s="50">
        <f t="shared" ref="G57:Q57" si="10">SUM(G58:G63)</f>
        <v>0</v>
      </c>
      <c r="H57" s="50">
        <f t="shared" si="10"/>
        <v>0</v>
      </c>
      <c r="I57" s="50">
        <f t="shared" si="10"/>
        <v>0</v>
      </c>
      <c r="J57" s="50">
        <f t="shared" si="10"/>
        <v>0</v>
      </c>
      <c r="K57" s="50">
        <f t="shared" si="10"/>
        <v>0</v>
      </c>
      <c r="L57" s="50">
        <f t="shared" si="10"/>
        <v>0</v>
      </c>
      <c r="M57" s="50">
        <f t="shared" si="10"/>
        <v>0</v>
      </c>
      <c r="N57" s="50">
        <f t="shared" si="10"/>
        <v>60</v>
      </c>
      <c r="O57" s="50">
        <f t="shared" si="10"/>
        <v>0</v>
      </c>
      <c r="P57" s="50">
        <f t="shared" si="10"/>
        <v>0</v>
      </c>
      <c r="Q57" s="50">
        <f t="shared" si="10"/>
        <v>0</v>
      </c>
      <c r="R57" s="45">
        <f>R60</f>
        <v>60</v>
      </c>
    </row>
    <row r="58" spans="1:18" s="17" customFormat="1" ht="22.5" customHeight="1" x14ac:dyDescent="0.3">
      <c r="A58" s="202"/>
      <c r="B58" s="203"/>
      <c r="C58" s="209"/>
      <c r="D58" s="20" t="s">
        <v>6</v>
      </c>
      <c r="E58" s="54">
        <f t="shared" ref="E58:E63" si="11">SUM(F58:Q58)</f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46"/>
    </row>
    <row r="59" spans="1:18" s="17" customFormat="1" ht="39.75" customHeight="1" x14ac:dyDescent="0.3">
      <c r="A59" s="202"/>
      <c r="B59" s="203"/>
      <c r="C59" s="209"/>
      <c r="D59" s="20" t="s">
        <v>7</v>
      </c>
      <c r="E59" s="54">
        <f t="shared" si="11"/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46"/>
    </row>
    <row r="60" spans="1:18" s="17" customFormat="1" ht="28.5" customHeight="1" x14ac:dyDescent="0.3">
      <c r="A60" s="202"/>
      <c r="B60" s="203"/>
      <c r="C60" s="209"/>
      <c r="D60" s="20" t="s">
        <v>1</v>
      </c>
      <c r="E60" s="54">
        <f t="shared" si="11"/>
        <v>60</v>
      </c>
      <c r="F60" s="51">
        <v>0</v>
      </c>
      <c r="G60" s="51">
        <v>0</v>
      </c>
      <c r="H60" s="51">
        <v>0</v>
      </c>
      <c r="I60" s="51"/>
      <c r="J60" s="51">
        <v>0</v>
      </c>
      <c r="K60" s="51">
        <v>0</v>
      </c>
      <c r="L60" s="51">
        <v>0</v>
      </c>
      <c r="M60" s="51">
        <v>0</v>
      </c>
      <c r="N60" s="51">
        <v>60</v>
      </c>
      <c r="O60" s="51">
        <v>0</v>
      </c>
      <c r="P60" s="51">
        <v>0</v>
      </c>
      <c r="Q60" s="51">
        <v>0</v>
      </c>
      <c r="R60" s="47">
        <v>60</v>
      </c>
    </row>
    <row r="61" spans="1:18" s="17" customFormat="1" ht="60" customHeight="1" x14ac:dyDescent="0.3">
      <c r="A61" s="202"/>
      <c r="B61" s="203"/>
      <c r="C61" s="209"/>
      <c r="D61" s="20" t="s">
        <v>2</v>
      </c>
      <c r="E61" s="54">
        <f t="shared" si="11"/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46"/>
    </row>
    <row r="62" spans="1:18" s="17" customFormat="1" ht="33.75" customHeight="1" x14ac:dyDescent="0.3">
      <c r="A62" s="202"/>
      <c r="B62" s="203"/>
      <c r="C62" s="209"/>
      <c r="D62" s="18" t="s">
        <v>36</v>
      </c>
      <c r="E62" s="54">
        <f t="shared" si="11"/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46"/>
    </row>
    <row r="63" spans="1:18" s="17" customFormat="1" ht="28.5" customHeight="1" x14ac:dyDescent="0.3">
      <c r="A63" s="202"/>
      <c r="B63" s="203"/>
      <c r="C63" s="209"/>
      <c r="D63" s="20" t="s">
        <v>4</v>
      </c>
      <c r="E63" s="54">
        <f t="shared" si="11"/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46"/>
    </row>
    <row r="64" spans="1:18" s="17" customFormat="1" ht="24.75" customHeight="1" x14ac:dyDescent="0.3">
      <c r="A64" s="202" t="s">
        <v>44</v>
      </c>
      <c r="B64" s="203" t="s">
        <v>17</v>
      </c>
      <c r="C64" s="209" t="s">
        <v>51</v>
      </c>
      <c r="D64" s="19" t="s">
        <v>0</v>
      </c>
      <c r="E64" s="44">
        <f>SUM(F64:Q64)</f>
        <v>125</v>
      </c>
      <c r="F64" s="50">
        <f>SUM(F65:F70)</f>
        <v>0</v>
      </c>
      <c r="G64" s="50">
        <f t="shared" ref="G64:Q64" si="12">SUM(G65:G70)</f>
        <v>0</v>
      </c>
      <c r="H64" s="50">
        <f t="shared" si="12"/>
        <v>0</v>
      </c>
      <c r="I64" s="50">
        <f t="shared" si="12"/>
        <v>0</v>
      </c>
      <c r="J64" s="50">
        <f t="shared" si="12"/>
        <v>0</v>
      </c>
      <c r="K64" s="50">
        <f t="shared" si="12"/>
        <v>0</v>
      </c>
      <c r="L64" s="50">
        <f t="shared" si="12"/>
        <v>0</v>
      </c>
      <c r="M64" s="50">
        <f t="shared" si="12"/>
        <v>125</v>
      </c>
      <c r="N64" s="50">
        <f t="shared" si="12"/>
        <v>0</v>
      </c>
      <c r="O64" s="50">
        <f t="shared" si="12"/>
        <v>0</v>
      </c>
      <c r="P64" s="50">
        <f t="shared" si="12"/>
        <v>0</v>
      </c>
      <c r="Q64" s="50">
        <f t="shared" si="12"/>
        <v>0</v>
      </c>
      <c r="R64" s="45">
        <f>R67</f>
        <v>125</v>
      </c>
    </row>
    <row r="65" spans="1:18" s="17" customFormat="1" ht="32.25" customHeight="1" x14ac:dyDescent="0.3">
      <c r="A65" s="202"/>
      <c r="B65" s="203"/>
      <c r="C65" s="209"/>
      <c r="D65" s="20" t="s">
        <v>6</v>
      </c>
      <c r="E65" s="54">
        <f t="shared" ref="E65:E70" si="13">SUM(F65:Q65)</f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46"/>
    </row>
    <row r="66" spans="1:18" s="17" customFormat="1" ht="39.75" customHeight="1" x14ac:dyDescent="0.3">
      <c r="A66" s="202"/>
      <c r="B66" s="203"/>
      <c r="C66" s="209"/>
      <c r="D66" s="20" t="s">
        <v>7</v>
      </c>
      <c r="E66" s="54">
        <f t="shared" si="13"/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46"/>
    </row>
    <row r="67" spans="1:18" s="17" customFormat="1" ht="30" customHeight="1" x14ac:dyDescent="0.3">
      <c r="A67" s="202"/>
      <c r="B67" s="203"/>
      <c r="C67" s="209"/>
      <c r="D67" s="20" t="s">
        <v>1</v>
      </c>
      <c r="E67" s="54">
        <f t="shared" si="13"/>
        <v>125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/>
      <c r="L67" s="51">
        <v>0</v>
      </c>
      <c r="M67" s="51">
        <v>125</v>
      </c>
      <c r="N67" s="51">
        <v>0</v>
      </c>
      <c r="O67" s="51">
        <v>0</v>
      </c>
      <c r="P67" s="51">
        <v>0</v>
      </c>
      <c r="Q67" s="51">
        <v>0</v>
      </c>
      <c r="R67" s="47">
        <v>125</v>
      </c>
    </row>
    <row r="68" spans="1:18" s="17" customFormat="1" ht="60" customHeight="1" x14ac:dyDescent="0.3">
      <c r="A68" s="202"/>
      <c r="B68" s="203"/>
      <c r="C68" s="209"/>
      <c r="D68" s="20" t="s">
        <v>2</v>
      </c>
      <c r="E68" s="54">
        <f t="shared" si="13"/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46"/>
    </row>
    <row r="69" spans="1:18" s="17" customFormat="1" ht="33.75" customHeight="1" x14ac:dyDescent="0.3">
      <c r="A69" s="202"/>
      <c r="B69" s="203"/>
      <c r="C69" s="209"/>
      <c r="D69" s="18" t="s">
        <v>36</v>
      </c>
      <c r="E69" s="54">
        <f t="shared" si="13"/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46"/>
    </row>
    <row r="70" spans="1:18" s="17" customFormat="1" ht="27.75" customHeight="1" x14ac:dyDescent="0.3">
      <c r="A70" s="202"/>
      <c r="B70" s="203"/>
      <c r="C70" s="209"/>
      <c r="D70" s="20" t="s">
        <v>4</v>
      </c>
      <c r="E70" s="54">
        <f t="shared" si="13"/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46"/>
    </row>
    <row r="71" spans="1:18" s="17" customFormat="1" ht="27.75" customHeight="1" x14ac:dyDescent="0.3">
      <c r="A71" s="202" t="s">
        <v>45</v>
      </c>
      <c r="B71" s="203" t="s">
        <v>58</v>
      </c>
      <c r="C71" s="209" t="s">
        <v>51</v>
      </c>
      <c r="D71" s="19" t="s">
        <v>0</v>
      </c>
      <c r="E71" s="44">
        <f>SUM(F71:Q71)</f>
        <v>0</v>
      </c>
      <c r="F71" s="50">
        <f>SUM(F72:F77)</f>
        <v>0</v>
      </c>
      <c r="G71" s="50">
        <f t="shared" ref="G71:Q71" si="14">SUM(G72:G77)</f>
        <v>0</v>
      </c>
      <c r="H71" s="50">
        <f t="shared" si="14"/>
        <v>0</v>
      </c>
      <c r="I71" s="50">
        <f t="shared" si="14"/>
        <v>0</v>
      </c>
      <c r="J71" s="50">
        <f t="shared" si="14"/>
        <v>0</v>
      </c>
      <c r="K71" s="50">
        <f t="shared" si="14"/>
        <v>0</v>
      </c>
      <c r="L71" s="50">
        <f t="shared" si="14"/>
        <v>0</v>
      </c>
      <c r="M71" s="50">
        <f t="shared" si="14"/>
        <v>0</v>
      </c>
      <c r="N71" s="50">
        <f t="shared" si="14"/>
        <v>0</v>
      </c>
      <c r="O71" s="50">
        <f t="shared" si="14"/>
        <v>0</v>
      </c>
      <c r="P71" s="50">
        <f t="shared" si="14"/>
        <v>0</v>
      </c>
      <c r="Q71" s="50">
        <f t="shared" si="14"/>
        <v>0</v>
      </c>
      <c r="R71" s="46"/>
    </row>
    <row r="72" spans="1:18" s="17" customFormat="1" ht="27.75" customHeight="1" x14ac:dyDescent="0.3">
      <c r="A72" s="202"/>
      <c r="B72" s="203"/>
      <c r="C72" s="209"/>
      <c r="D72" s="20" t="s">
        <v>6</v>
      </c>
      <c r="E72" s="54">
        <f t="shared" ref="E72:E77" si="15">SUM(F72:Q72)</f>
        <v>0</v>
      </c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46"/>
    </row>
    <row r="73" spans="1:18" s="17" customFormat="1" ht="39" customHeight="1" x14ac:dyDescent="0.3">
      <c r="A73" s="202"/>
      <c r="B73" s="203"/>
      <c r="C73" s="209"/>
      <c r="D73" s="20" t="s">
        <v>7</v>
      </c>
      <c r="E73" s="54">
        <f t="shared" si="15"/>
        <v>0</v>
      </c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46"/>
    </row>
    <row r="74" spans="1:18" s="17" customFormat="1" ht="27.75" customHeight="1" x14ac:dyDescent="0.3">
      <c r="A74" s="202"/>
      <c r="B74" s="203"/>
      <c r="C74" s="209"/>
      <c r="D74" s="20" t="s">
        <v>1</v>
      </c>
      <c r="E74" s="54">
        <f t="shared" si="15"/>
        <v>0</v>
      </c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46"/>
    </row>
    <row r="75" spans="1:18" s="17" customFormat="1" ht="59.25" customHeight="1" x14ac:dyDescent="0.3">
      <c r="A75" s="202"/>
      <c r="B75" s="203"/>
      <c r="C75" s="209"/>
      <c r="D75" s="20" t="s">
        <v>2</v>
      </c>
      <c r="E75" s="54">
        <f t="shared" si="15"/>
        <v>0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46"/>
    </row>
    <row r="76" spans="1:18" s="17" customFormat="1" ht="31.5" customHeight="1" x14ac:dyDescent="0.3">
      <c r="A76" s="202"/>
      <c r="B76" s="203"/>
      <c r="C76" s="209"/>
      <c r="D76" s="18" t="s">
        <v>36</v>
      </c>
      <c r="E76" s="54">
        <f t="shared" si="15"/>
        <v>0</v>
      </c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46"/>
    </row>
    <row r="77" spans="1:18" s="17" customFormat="1" ht="27.75" customHeight="1" x14ac:dyDescent="0.3">
      <c r="A77" s="202"/>
      <c r="B77" s="203"/>
      <c r="C77" s="209"/>
      <c r="D77" s="20" t="s">
        <v>4</v>
      </c>
      <c r="E77" s="54">
        <f t="shared" si="15"/>
        <v>0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46"/>
    </row>
    <row r="78" spans="1:18" s="39" customFormat="1" ht="27.75" customHeight="1" x14ac:dyDescent="0.3">
      <c r="A78" s="210" t="s">
        <v>59</v>
      </c>
      <c r="B78" s="203" t="s">
        <v>60</v>
      </c>
      <c r="C78" s="205" t="s">
        <v>63</v>
      </c>
      <c r="D78" s="38" t="s">
        <v>0</v>
      </c>
      <c r="E78" s="52">
        <f>SUM(F78:Q78)</f>
        <v>156017.95973</v>
      </c>
      <c r="F78" s="52">
        <f>SUM(F79:F84)</f>
        <v>13956.22313</v>
      </c>
      <c r="G78" s="52">
        <f t="shared" ref="G78:Q78" si="16">SUM(G79:G84)</f>
        <v>12605.081470000001</v>
      </c>
      <c r="H78" s="52">
        <f t="shared" si="16"/>
        <v>10507.494989999999</v>
      </c>
      <c r="I78" s="52">
        <f t="shared" si="16"/>
        <v>11857.438099999999</v>
      </c>
      <c r="J78" s="52">
        <f t="shared" si="16"/>
        <v>10908.15243</v>
      </c>
      <c r="K78" s="52">
        <f t="shared" si="16"/>
        <v>16293.35252</v>
      </c>
      <c r="L78" s="52">
        <f t="shared" si="16"/>
        <v>19791.089010000003</v>
      </c>
      <c r="M78" s="52">
        <f t="shared" si="16"/>
        <v>11457.93354</v>
      </c>
      <c r="N78" s="52">
        <f>SUM(N79:N84)</f>
        <v>10828.433440000001</v>
      </c>
      <c r="O78" s="52">
        <f>SUM(O79:O84)</f>
        <v>11061.18858</v>
      </c>
      <c r="P78" s="52">
        <f t="shared" si="16"/>
        <v>10524.44665</v>
      </c>
      <c r="Q78" s="52">
        <f t="shared" si="16"/>
        <v>16227.12587</v>
      </c>
      <c r="R78" s="45">
        <f>R80+R81+R84</f>
        <v>102525.7</v>
      </c>
    </row>
    <row r="79" spans="1:18" s="39" customFormat="1" ht="27" customHeight="1" x14ac:dyDescent="0.3">
      <c r="A79" s="210"/>
      <c r="B79" s="203"/>
      <c r="C79" s="205"/>
      <c r="D79" s="40" t="s">
        <v>6</v>
      </c>
      <c r="E79" s="57">
        <f t="shared" ref="E79:E81" si="17">SUM(F79:Q79)</f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46"/>
    </row>
    <row r="80" spans="1:18" s="39" customFormat="1" ht="40.5" customHeight="1" x14ac:dyDescent="0.3">
      <c r="A80" s="210"/>
      <c r="B80" s="203"/>
      <c r="C80" s="205"/>
      <c r="D80" s="40" t="s">
        <v>7</v>
      </c>
      <c r="E80" s="57">
        <f>G80+H80+I80+J80+K80+L80+M80+N80+O80+P80+Q80+F80</f>
        <v>95128.79873000001</v>
      </c>
      <c r="F80" s="56">
        <v>0</v>
      </c>
      <c r="G80" s="56">
        <f>5306.784+5799.06263</f>
        <v>11105.84663</v>
      </c>
      <c r="H80" s="56">
        <f>7282.09977-5799.06263+4204.44873</f>
        <v>5687.4858699999995</v>
      </c>
      <c r="I80" s="56">
        <f>7327.39977-4204.45</f>
        <v>3122.9497700000002</v>
      </c>
      <c r="J80" s="56">
        <v>8681.6103000000003</v>
      </c>
      <c r="K80" s="56">
        <v>10113.476350000001</v>
      </c>
      <c r="L80" s="86">
        <f>10622.39048+7000</f>
        <v>17622.390480000002</v>
      </c>
      <c r="M80" s="86">
        <f>11482.79048-3000</f>
        <v>8482.7904799999997</v>
      </c>
      <c r="N80" s="86">
        <f>9197.28548-2000</f>
        <v>7197.2854800000005</v>
      </c>
      <c r="O80" s="69">
        <v>7584.0997699999998</v>
      </c>
      <c r="P80" s="69">
        <v>7327.39977</v>
      </c>
      <c r="Q80" s="87">
        <f>10203.46385-0.00002-2000</f>
        <v>8203.4638300000006</v>
      </c>
      <c r="R80" s="47">
        <f>37070.2+16193.8</f>
        <v>53264</v>
      </c>
    </row>
    <row r="81" spans="1:19" s="39" customFormat="1" ht="36" customHeight="1" x14ac:dyDescent="0.3">
      <c r="A81" s="210"/>
      <c r="B81" s="203"/>
      <c r="C81" s="205"/>
      <c r="D81" s="40" t="s">
        <v>1</v>
      </c>
      <c r="E81" s="57">
        <f t="shared" si="17"/>
        <v>60889.161000000007</v>
      </c>
      <c r="F81" s="55">
        <v>13956.22313</v>
      </c>
      <c r="G81" s="55">
        <f>5292.63046-3793.39562</f>
        <v>1499.2348400000005</v>
      </c>
      <c r="H81" s="55">
        <f>3557.5625+3793.39562-2530.949</f>
        <v>4820.0091199999988</v>
      </c>
      <c r="I81" s="55">
        <f>6203.54333+2530.945</f>
        <v>8734.4883300000001</v>
      </c>
      <c r="J81" s="55">
        <f>2230.06657+1761.61656-1765.141</f>
        <v>2226.5421299999998</v>
      </c>
      <c r="K81" s="55">
        <v>6179.8761699999995</v>
      </c>
      <c r="L81" s="55">
        <v>2168.6985300000001</v>
      </c>
      <c r="M81" s="55">
        <f>2975.14306</f>
        <v>2975.1430599999999</v>
      </c>
      <c r="N81" s="70">
        <f>4931.76452-1300.61656</f>
        <v>3631.1479599999998</v>
      </c>
      <c r="O81" s="70">
        <v>3477.0888100000002</v>
      </c>
      <c r="P81" s="70">
        <v>3197.0468799999999</v>
      </c>
      <c r="Q81" s="70">
        <f>8484.66204-461</f>
        <v>8023.6620399999993</v>
      </c>
      <c r="R81" s="47">
        <v>49261.7</v>
      </c>
    </row>
    <row r="82" spans="1:19" s="39" customFormat="1" ht="63.75" customHeight="1" x14ac:dyDescent="0.3">
      <c r="A82" s="210"/>
      <c r="B82" s="203"/>
      <c r="C82" s="205"/>
      <c r="D82" s="40" t="s">
        <v>2</v>
      </c>
      <c r="E82" s="57">
        <v>0</v>
      </c>
      <c r="F82" s="55"/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70">
        <v>0</v>
      </c>
      <c r="Q82" s="70">
        <v>0</v>
      </c>
      <c r="R82" s="47"/>
    </row>
    <row r="83" spans="1:19" s="39" customFormat="1" ht="24.75" customHeight="1" x14ac:dyDescent="0.3">
      <c r="A83" s="210"/>
      <c r="B83" s="203"/>
      <c r="C83" s="205"/>
      <c r="D83" s="40" t="s">
        <v>36</v>
      </c>
      <c r="E83" s="57">
        <v>0</v>
      </c>
      <c r="F83" s="55">
        <v>0</v>
      </c>
      <c r="G83" s="70">
        <v>0</v>
      </c>
      <c r="H83" s="70"/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70">
        <v>0</v>
      </c>
      <c r="P83" s="70">
        <v>0</v>
      </c>
      <c r="Q83" s="70">
        <v>0</v>
      </c>
      <c r="R83" s="47"/>
    </row>
    <row r="84" spans="1:19" s="39" customFormat="1" ht="30" customHeight="1" x14ac:dyDescent="0.3">
      <c r="A84" s="210"/>
      <c r="B84" s="203"/>
      <c r="C84" s="205"/>
      <c r="D84" s="40" t="s">
        <v>4</v>
      </c>
      <c r="E84" s="57">
        <f>G84+H84+I84+J84+K84+L84+M84+N84+O84+P84+Q84</f>
        <v>0</v>
      </c>
      <c r="F84" s="55">
        <v>0</v>
      </c>
      <c r="G84" s="70">
        <v>0</v>
      </c>
      <c r="H84" s="70"/>
      <c r="I84" s="70">
        <v>0</v>
      </c>
      <c r="J84" s="70">
        <v>0</v>
      </c>
      <c r="K84" s="69">
        <v>0</v>
      </c>
      <c r="L84" s="70"/>
      <c r="M84" s="70"/>
      <c r="N84" s="70">
        <v>0</v>
      </c>
      <c r="O84" s="70">
        <v>0</v>
      </c>
      <c r="P84" s="70"/>
      <c r="Q84" s="70">
        <f>778.09401-778.09401</f>
        <v>0</v>
      </c>
      <c r="R84" s="47"/>
    </row>
    <row r="85" spans="1:19" s="21" customFormat="1" ht="30" customHeight="1" x14ac:dyDescent="0.3">
      <c r="A85" s="211" t="s">
        <v>3</v>
      </c>
      <c r="B85" s="211"/>
      <c r="C85" s="212"/>
      <c r="D85" s="67" t="s">
        <v>0</v>
      </c>
      <c r="E85" s="54">
        <f>SUM(F85:Q85)</f>
        <v>611435.92920999997</v>
      </c>
      <c r="F85" s="54">
        <f>SUM(F86:F91)</f>
        <v>27980.503805</v>
      </c>
      <c r="G85" s="54">
        <f t="shared" ref="G85:Q85" si="18">SUM(G86:G91)</f>
        <v>63887.698449999996</v>
      </c>
      <c r="H85" s="54">
        <f t="shared" si="18"/>
        <v>50634.693599999991</v>
      </c>
      <c r="I85" s="54">
        <f t="shared" si="18"/>
        <v>51740.532460000002</v>
      </c>
      <c r="J85" s="54">
        <f t="shared" si="18"/>
        <v>52557.171770000001</v>
      </c>
      <c r="K85" s="54">
        <f t="shared" si="18"/>
        <v>54755.048760000005</v>
      </c>
      <c r="L85" s="54">
        <f t="shared" si="18"/>
        <v>60319.077475000006</v>
      </c>
      <c r="M85" s="54">
        <f t="shared" si="18"/>
        <v>45258.558779999999</v>
      </c>
      <c r="N85" s="54">
        <f t="shared" si="18"/>
        <v>45991.247115000006</v>
      </c>
      <c r="O85" s="54">
        <f t="shared" si="18"/>
        <v>43989.482919999995</v>
      </c>
      <c r="P85" s="80">
        <f t="shared" si="18"/>
        <v>39503.124810000001</v>
      </c>
      <c r="Q85" s="80">
        <f t="shared" si="18"/>
        <v>74818.789264999985</v>
      </c>
      <c r="R85" s="53"/>
    </row>
    <row r="86" spans="1:19" s="21" customFormat="1" ht="36" customHeight="1" x14ac:dyDescent="0.3">
      <c r="A86" s="211"/>
      <c r="B86" s="211"/>
      <c r="C86" s="212"/>
      <c r="D86" s="67" t="s">
        <v>6</v>
      </c>
      <c r="E86" s="54">
        <f>SUM(F86:Q86)</f>
        <v>5128.2</v>
      </c>
      <c r="F86" s="88">
        <f t="shared" ref="F86:Q91" si="19">F23+F30+F37+F44+F51+F58+F65+F79</f>
        <v>32.815000000000005</v>
      </c>
      <c r="G86" s="88">
        <f t="shared" si="19"/>
        <v>424.54740000000004</v>
      </c>
      <c r="H86" s="88">
        <f t="shared" si="19"/>
        <v>832.44421</v>
      </c>
      <c r="I86" s="54">
        <f t="shared" si="19"/>
        <v>479.48499999999996</v>
      </c>
      <c r="J86" s="54">
        <f t="shared" si="19"/>
        <v>252.709</v>
      </c>
      <c r="K86" s="54">
        <f t="shared" si="19"/>
        <v>651.44100000000003</v>
      </c>
      <c r="L86" s="54">
        <f t="shared" si="19"/>
        <v>1197.6151500000001</v>
      </c>
      <c r="M86" s="54">
        <f t="shared" si="19"/>
        <v>629.71699999999998</v>
      </c>
      <c r="N86" s="54">
        <f t="shared" si="19"/>
        <v>252.76900000000001</v>
      </c>
      <c r="O86" s="54">
        <f t="shared" si="19"/>
        <v>32.075000000000003</v>
      </c>
      <c r="P86" s="80">
        <f t="shared" si="19"/>
        <v>307.46925000000005</v>
      </c>
      <c r="Q86" s="80">
        <f t="shared" si="19"/>
        <v>35.112990000000003</v>
      </c>
      <c r="R86" s="53"/>
    </row>
    <row r="87" spans="1:19" s="21" customFormat="1" ht="43.5" customHeight="1" x14ac:dyDescent="0.3">
      <c r="A87" s="211"/>
      <c r="B87" s="211"/>
      <c r="C87" s="212"/>
      <c r="D87" s="67" t="s">
        <v>7</v>
      </c>
      <c r="E87" s="54">
        <f t="shared" ref="E87:E91" si="20">SUM(F87:Q87)</f>
        <v>96362.29873000001</v>
      </c>
      <c r="F87" s="54">
        <f t="shared" si="19"/>
        <v>9.4307399999999859</v>
      </c>
      <c r="G87" s="54">
        <f t="shared" si="19"/>
        <v>11215.11663</v>
      </c>
      <c r="H87" s="54">
        <f t="shared" si="19"/>
        <v>5807.8148699999992</v>
      </c>
      <c r="I87" s="54">
        <f t="shared" si="19"/>
        <v>3173.1248700000001</v>
      </c>
      <c r="J87" s="54">
        <f t="shared" si="19"/>
        <v>8706.2103000000006</v>
      </c>
      <c r="K87" s="54">
        <f t="shared" si="19"/>
        <v>10149.495350000001</v>
      </c>
      <c r="L87" s="54">
        <f t="shared" si="19"/>
        <v>17888.319480000002</v>
      </c>
      <c r="M87" s="54">
        <f t="shared" si="19"/>
        <v>8482.7904799999997</v>
      </c>
      <c r="N87" s="54">
        <f t="shared" si="19"/>
        <v>7208.7054800000005</v>
      </c>
      <c r="O87" s="54">
        <f t="shared" si="19"/>
        <v>7806.0617700000003</v>
      </c>
      <c r="P87" s="80">
        <f t="shared" si="19"/>
        <v>7662.1159299999999</v>
      </c>
      <c r="Q87" s="80">
        <f t="shared" si="19"/>
        <v>8253.11283</v>
      </c>
      <c r="R87" s="53"/>
      <c r="S87" s="22"/>
    </row>
    <row r="88" spans="1:19" s="21" customFormat="1" ht="28.5" customHeight="1" x14ac:dyDescent="0.3">
      <c r="A88" s="211"/>
      <c r="B88" s="211"/>
      <c r="C88" s="212"/>
      <c r="D88" s="67" t="s">
        <v>1</v>
      </c>
      <c r="E88" s="54">
        <f t="shared" si="20"/>
        <v>505956.45647999999</v>
      </c>
      <c r="F88" s="54">
        <f t="shared" si="19"/>
        <v>27938.258065000002</v>
      </c>
      <c r="G88" s="54">
        <f t="shared" si="19"/>
        <v>52248.034419999996</v>
      </c>
      <c r="H88" s="54">
        <f t="shared" si="19"/>
        <v>43994.434519999995</v>
      </c>
      <c r="I88" s="54">
        <f t="shared" si="19"/>
        <v>48087.922590000002</v>
      </c>
      <c r="J88" s="54">
        <f t="shared" si="19"/>
        <v>43598.252469999999</v>
      </c>
      <c r="K88" s="54">
        <f t="shared" si="19"/>
        <v>43954.112410000002</v>
      </c>
      <c r="L88" s="54">
        <f t="shared" si="19"/>
        <v>41233.142845000002</v>
      </c>
      <c r="M88" s="54">
        <f t="shared" si="19"/>
        <v>36146.051299999999</v>
      </c>
      <c r="N88" s="54">
        <f t="shared" si="19"/>
        <v>38529.772635000001</v>
      </c>
      <c r="O88" s="54">
        <f t="shared" si="19"/>
        <v>36151.346149999998</v>
      </c>
      <c r="P88" s="80">
        <f t="shared" si="19"/>
        <v>31533.539629999999</v>
      </c>
      <c r="Q88" s="80">
        <f t="shared" si="19"/>
        <v>62541.589444999991</v>
      </c>
      <c r="R88" s="53"/>
    </row>
    <row r="89" spans="1:19" s="21" customFormat="1" ht="52.5" customHeight="1" x14ac:dyDescent="0.3">
      <c r="A89" s="211"/>
      <c r="B89" s="211"/>
      <c r="C89" s="212"/>
      <c r="D89" s="67" t="s">
        <v>2</v>
      </c>
      <c r="E89" s="54">
        <f t="shared" si="20"/>
        <v>0</v>
      </c>
      <c r="F89" s="54">
        <f t="shared" si="19"/>
        <v>0</v>
      </c>
      <c r="G89" s="54">
        <f t="shared" si="19"/>
        <v>0</v>
      </c>
      <c r="H89" s="54">
        <f t="shared" si="19"/>
        <v>0</v>
      </c>
      <c r="I89" s="54">
        <f t="shared" si="19"/>
        <v>0</v>
      </c>
      <c r="J89" s="54">
        <f t="shared" si="19"/>
        <v>0</v>
      </c>
      <c r="K89" s="54">
        <f t="shared" si="19"/>
        <v>0</v>
      </c>
      <c r="L89" s="54">
        <f t="shared" si="19"/>
        <v>0</v>
      </c>
      <c r="M89" s="54">
        <f t="shared" si="19"/>
        <v>0</v>
      </c>
      <c r="N89" s="54">
        <f t="shared" si="19"/>
        <v>0</v>
      </c>
      <c r="O89" s="54">
        <f t="shared" si="19"/>
        <v>0</v>
      </c>
      <c r="P89" s="80">
        <f t="shared" si="19"/>
        <v>0</v>
      </c>
      <c r="Q89" s="80">
        <f t="shared" si="19"/>
        <v>0</v>
      </c>
      <c r="R89" s="53"/>
    </row>
    <row r="90" spans="1:19" s="17" customFormat="1" ht="33.75" customHeight="1" x14ac:dyDescent="0.3">
      <c r="A90" s="211"/>
      <c r="B90" s="211"/>
      <c r="C90" s="212"/>
      <c r="D90" s="67" t="s">
        <v>36</v>
      </c>
      <c r="E90" s="54">
        <f t="shared" si="20"/>
        <v>0</v>
      </c>
      <c r="F90" s="54">
        <f t="shared" si="19"/>
        <v>0</v>
      </c>
      <c r="G90" s="54">
        <f t="shared" si="19"/>
        <v>0</v>
      </c>
      <c r="H90" s="54">
        <f t="shared" si="19"/>
        <v>0</v>
      </c>
      <c r="I90" s="54">
        <f t="shared" si="19"/>
        <v>0</v>
      </c>
      <c r="J90" s="54">
        <f t="shared" si="19"/>
        <v>0</v>
      </c>
      <c r="K90" s="54">
        <f t="shared" si="19"/>
        <v>0</v>
      </c>
      <c r="L90" s="54">
        <f t="shared" si="19"/>
        <v>0</v>
      </c>
      <c r="M90" s="54">
        <f t="shared" si="19"/>
        <v>0</v>
      </c>
      <c r="N90" s="54">
        <f t="shared" si="19"/>
        <v>0</v>
      </c>
      <c r="O90" s="54">
        <f t="shared" si="19"/>
        <v>0</v>
      </c>
      <c r="P90" s="54">
        <f t="shared" si="19"/>
        <v>0</v>
      </c>
      <c r="Q90" s="54">
        <f t="shared" si="19"/>
        <v>0</v>
      </c>
      <c r="R90" s="53"/>
    </row>
    <row r="91" spans="1:19" s="21" customFormat="1" ht="30" customHeight="1" x14ac:dyDescent="0.3">
      <c r="A91" s="211"/>
      <c r="B91" s="211"/>
      <c r="C91" s="212"/>
      <c r="D91" s="67" t="s">
        <v>4</v>
      </c>
      <c r="E91" s="54">
        <f t="shared" si="20"/>
        <v>3988.9740000000002</v>
      </c>
      <c r="F91" s="54">
        <f t="shared" si="19"/>
        <v>0</v>
      </c>
      <c r="G91" s="54">
        <f t="shared" si="19"/>
        <v>0</v>
      </c>
      <c r="H91" s="54">
        <f t="shared" si="19"/>
        <v>0</v>
      </c>
      <c r="I91" s="54">
        <f t="shared" si="19"/>
        <v>0</v>
      </c>
      <c r="J91" s="54">
        <f t="shared" si="19"/>
        <v>0</v>
      </c>
      <c r="K91" s="54">
        <f t="shared" si="19"/>
        <v>0</v>
      </c>
      <c r="L91" s="54">
        <f t="shared" si="19"/>
        <v>0</v>
      </c>
      <c r="M91" s="54">
        <f t="shared" si="19"/>
        <v>0</v>
      </c>
      <c r="N91" s="54">
        <f t="shared" si="19"/>
        <v>0</v>
      </c>
      <c r="O91" s="54">
        <f t="shared" si="19"/>
        <v>0</v>
      </c>
      <c r="P91" s="54">
        <f t="shared" si="19"/>
        <v>0</v>
      </c>
      <c r="Q91" s="54">
        <f t="shared" si="19"/>
        <v>3988.9740000000002</v>
      </c>
      <c r="R91" s="53"/>
    </row>
    <row r="92" spans="1:19" s="21" customFormat="1" ht="30.75" hidden="1" customHeight="1" x14ac:dyDescent="0.3">
      <c r="A92" s="58"/>
      <c r="B92" s="58"/>
      <c r="C92" s="59"/>
      <c r="D92" s="60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</row>
    <row r="93" spans="1:19" s="63" customFormat="1" ht="45" customHeight="1" x14ac:dyDescent="0.4">
      <c r="B93" s="68"/>
      <c r="C93" s="64"/>
      <c r="N93" s="66"/>
      <c r="R93" s="65"/>
    </row>
    <row r="94" spans="1:19" s="35" customFormat="1" ht="48.75" customHeight="1" x14ac:dyDescent="0.4">
      <c r="B94" s="36" t="s">
        <v>49</v>
      </c>
      <c r="C94" s="36"/>
      <c r="F94" s="35" t="s">
        <v>50</v>
      </c>
      <c r="R94" s="37"/>
    </row>
    <row r="95" spans="1:19" s="35" customFormat="1" ht="57.75" customHeight="1" x14ac:dyDescent="0.4">
      <c r="B95" s="36"/>
      <c r="C95" s="36"/>
      <c r="R95" s="37"/>
    </row>
    <row r="96" spans="1:19" s="35" customFormat="1" ht="30" customHeight="1" x14ac:dyDescent="0.4">
      <c r="B96" s="36" t="s">
        <v>66</v>
      </c>
      <c r="C96" s="36"/>
      <c r="R96" s="37"/>
    </row>
    <row r="97" spans="2:18" s="35" customFormat="1" ht="26.25" x14ac:dyDescent="0.4">
      <c r="B97" s="36" t="s">
        <v>67</v>
      </c>
      <c r="C97" s="36"/>
      <c r="R97" s="37"/>
    </row>
    <row r="100" spans="2:18" x14ac:dyDescent="0.3"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</row>
    <row r="102" spans="2:18" x14ac:dyDescent="0.3">
      <c r="F102" s="71"/>
      <c r="G102" s="71"/>
      <c r="H102" s="71"/>
    </row>
    <row r="103" spans="2:18" x14ac:dyDescent="0.3">
      <c r="E103" s="81"/>
    </row>
    <row r="104" spans="2:18" x14ac:dyDescent="0.3">
      <c r="F104" s="72"/>
    </row>
  </sheetData>
  <mergeCells count="52">
    <mergeCell ref="A78:A84"/>
    <mergeCell ref="B78:B84"/>
    <mergeCell ref="C78:C84"/>
    <mergeCell ref="A85:B91"/>
    <mergeCell ref="C85:C91"/>
    <mergeCell ref="A64:A70"/>
    <mergeCell ref="B64:B70"/>
    <mergeCell ref="C64:C70"/>
    <mergeCell ref="A71:A77"/>
    <mergeCell ref="B71:B77"/>
    <mergeCell ref="C71:C77"/>
    <mergeCell ref="A50:A56"/>
    <mergeCell ref="B50:B56"/>
    <mergeCell ref="C50:C56"/>
    <mergeCell ref="A57:A63"/>
    <mergeCell ref="B57:B63"/>
    <mergeCell ref="C57:C63"/>
    <mergeCell ref="A36:A42"/>
    <mergeCell ref="B36:B42"/>
    <mergeCell ref="C36:C42"/>
    <mergeCell ref="A43:A49"/>
    <mergeCell ref="B43:B49"/>
    <mergeCell ref="C43:C49"/>
    <mergeCell ref="F19:Q19"/>
    <mergeCell ref="A22:A28"/>
    <mergeCell ref="B22:B28"/>
    <mergeCell ref="C22:C28"/>
    <mergeCell ref="A29:A35"/>
    <mergeCell ref="B29:B35"/>
    <mergeCell ref="C29:C35"/>
    <mergeCell ref="A19:A20"/>
    <mergeCell ref="B19:B20"/>
    <mergeCell ref="C19:C20"/>
    <mergeCell ref="D19:D20"/>
    <mergeCell ref="E19:E20"/>
    <mergeCell ref="N13:Q13"/>
    <mergeCell ref="N14:Q14"/>
    <mergeCell ref="A16:Q16"/>
    <mergeCell ref="A17:Q17"/>
    <mergeCell ref="P18:Q18"/>
    <mergeCell ref="N12:Q12"/>
    <mergeCell ref="N1:Q1"/>
    <mergeCell ref="N2:Q2"/>
    <mergeCell ref="N3:Q3"/>
    <mergeCell ref="N4:Q4"/>
    <mergeCell ref="N5:Q5"/>
    <mergeCell ref="N6:Q6"/>
    <mergeCell ref="N7:Q7"/>
    <mergeCell ref="N8:Q8"/>
    <mergeCell ref="N9:Q9"/>
    <mergeCell ref="N10:Q10"/>
    <mergeCell ref="N11:Q11"/>
  </mergeCells>
  <pageMargins left="0.19685039370078741" right="0.27559055118110237" top="0.15748031496062992" bottom="0.15748031496062992" header="0.15748031496062992" footer="0.15748031496062992"/>
  <pageSetup paperSize="9" scale="35" fitToHeight="5" orientation="landscape" r:id="rId1"/>
  <rowBreaks count="1" manualBreakCount="1">
    <brk id="4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04"/>
  <sheetViews>
    <sheetView view="pageBreakPreview" zoomScale="60" zoomScaleNormal="100" workbookViewId="0">
      <selection activeCell="E28" sqref="E28"/>
    </sheetView>
  </sheetViews>
  <sheetFormatPr defaultColWidth="9.140625" defaultRowHeight="17.25" x14ac:dyDescent="0.3"/>
  <cols>
    <col min="1" max="1" width="6.5703125" style="2" customWidth="1"/>
    <col min="2" max="2" width="59.7109375" style="33" customWidth="1"/>
    <col min="3" max="3" width="34.42578125" style="33" customWidth="1"/>
    <col min="4" max="4" width="27.7109375" style="2" customWidth="1"/>
    <col min="5" max="5" width="29.7109375" style="2" customWidth="1"/>
    <col min="6" max="6" width="23.5703125" style="2" customWidth="1"/>
    <col min="7" max="7" width="20" style="2" customWidth="1"/>
    <col min="8" max="8" width="20.28515625" style="2" customWidth="1"/>
    <col min="9" max="17" width="20.140625" style="2" customWidth="1"/>
    <col min="18" max="18" width="30.7109375" style="5" hidden="1" customWidth="1"/>
    <col min="19" max="19" width="14.28515625" style="2" bestFit="1" customWidth="1"/>
    <col min="20" max="20" width="20.42578125" style="2" customWidth="1"/>
    <col min="21" max="16384" width="9.140625" style="2"/>
  </cols>
  <sheetData>
    <row r="1" spans="1:19" s="11" customFormat="1" ht="21" customHeight="1" x14ac:dyDescent="0.3">
      <c r="A1" s="23"/>
      <c r="B1" s="24"/>
      <c r="C1" s="24"/>
      <c r="I1" s="23"/>
      <c r="J1" s="23"/>
      <c r="K1" s="23"/>
      <c r="L1" s="23"/>
      <c r="M1" s="25"/>
      <c r="N1" s="191" t="s">
        <v>31</v>
      </c>
      <c r="O1" s="191"/>
      <c r="P1" s="191"/>
      <c r="Q1" s="191"/>
      <c r="R1" s="26"/>
    </row>
    <row r="2" spans="1:19" s="11" customFormat="1" ht="44.25" customHeight="1" x14ac:dyDescent="0.3">
      <c r="A2" s="23"/>
      <c r="B2" s="27"/>
      <c r="C2" s="24"/>
      <c r="I2" s="23"/>
      <c r="J2" s="23"/>
      <c r="K2" s="23"/>
      <c r="L2" s="23"/>
      <c r="M2" s="25"/>
      <c r="N2" s="192" t="s">
        <v>53</v>
      </c>
      <c r="O2" s="192"/>
      <c r="P2" s="192"/>
      <c r="Q2" s="192"/>
      <c r="R2" s="29"/>
    </row>
    <row r="3" spans="1:19" s="11" customFormat="1" ht="62.25" customHeight="1" x14ac:dyDescent="0.35">
      <c r="A3" s="23"/>
      <c r="B3" s="27"/>
      <c r="C3" s="24"/>
      <c r="I3" s="23"/>
      <c r="J3" s="23"/>
      <c r="K3" s="23"/>
      <c r="L3" s="23"/>
      <c r="M3" s="25"/>
      <c r="N3" s="190" t="s">
        <v>54</v>
      </c>
      <c r="O3" s="190"/>
      <c r="P3" s="190"/>
      <c r="Q3" s="190"/>
      <c r="R3" s="29"/>
    </row>
    <row r="4" spans="1:19" s="11" customFormat="1" ht="23.25" customHeight="1" x14ac:dyDescent="0.3">
      <c r="A4" s="23"/>
      <c r="B4" s="24"/>
      <c r="C4" s="24"/>
      <c r="I4" s="23"/>
      <c r="J4" s="23"/>
      <c r="K4" s="23"/>
      <c r="L4" s="23"/>
      <c r="M4" s="25"/>
      <c r="N4" s="193" t="s">
        <v>32</v>
      </c>
      <c r="O4" s="193"/>
      <c r="P4" s="193"/>
      <c r="Q4" s="193"/>
      <c r="R4" s="29"/>
    </row>
    <row r="5" spans="1:19" s="11" customFormat="1" ht="33" customHeight="1" x14ac:dyDescent="0.3">
      <c r="A5" s="23"/>
      <c r="B5" s="24"/>
      <c r="C5" s="24"/>
      <c r="I5" s="23"/>
      <c r="J5" s="23"/>
      <c r="K5" s="23"/>
      <c r="L5" s="23"/>
      <c r="M5" s="25"/>
      <c r="N5" s="194" t="s">
        <v>46</v>
      </c>
      <c r="O5" s="194"/>
      <c r="P5" s="194"/>
      <c r="Q5" s="194"/>
      <c r="R5" s="30"/>
      <c r="S5" s="30"/>
    </row>
    <row r="6" spans="1:19" s="11" customFormat="1" ht="51" customHeight="1" x14ac:dyDescent="0.35">
      <c r="A6" s="23"/>
      <c r="B6" s="24"/>
      <c r="C6" s="24"/>
      <c r="I6" s="23"/>
      <c r="J6" s="23"/>
      <c r="K6" s="23"/>
      <c r="L6" s="23"/>
      <c r="M6" s="31"/>
      <c r="N6" s="195" t="s">
        <v>55</v>
      </c>
      <c r="O6" s="195"/>
      <c r="P6" s="195"/>
      <c r="Q6" s="195"/>
      <c r="R6" s="32"/>
    </row>
    <row r="7" spans="1:19" s="11" customFormat="1" ht="21.75" customHeight="1" x14ac:dyDescent="0.3">
      <c r="A7" s="23"/>
      <c r="B7" s="24"/>
      <c r="C7" s="24"/>
      <c r="I7" s="23"/>
      <c r="J7" s="23"/>
      <c r="K7" s="23"/>
      <c r="L7" s="23"/>
      <c r="M7" s="31"/>
      <c r="N7" s="193" t="s">
        <v>33</v>
      </c>
      <c r="O7" s="193"/>
      <c r="P7" s="193"/>
      <c r="Q7" s="193"/>
      <c r="R7" s="29"/>
    </row>
    <row r="8" spans="1:19" s="11" customFormat="1" ht="40.5" customHeight="1" x14ac:dyDescent="0.3">
      <c r="A8" s="23"/>
      <c r="B8" s="24"/>
      <c r="C8" s="24"/>
      <c r="I8" s="23"/>
      <c r="J8" s="23"/>
      <c r="K8" s="23"/>
      <c r="L8" s="23"/>
      <c r="M8" s="31"/>
      <c r="N8" s="192" t="s">
        <v>47</v>
      </c>
      <c r="O8" s="192"/>
      <c r="P8" s="192"/>
      <c r="Q8" s="192"/>
      <c r="R8" s="32"/>
    </row>
    <row r="9" spans="1:19" s="11" customFormat="1" ht="46.5" customHeight="1" x14ac:dyDescent="0.35">
      <c r="A9" s="23"/>
      <c r="B9" s="24"/>
      <c r="C9" s="24"/>
      <c r="I9" s="23"/>
      <c r="J9" s="23"/>
      <c r="K9" s="23"/>
      <c r="L9" s="23"/>
      <c r="M9" s="31"/>
      <c r="N9" s="195" t="s">
        <v>56</v>
      </c>
      <c r="O9" s="195"/>
      <c r="P9" s="195"/>
      <c r="Q9" s="195"/>
      <c r="R9" s="28"/>
      <c r="S9" s="28"/>
    </row>
    <row r="10" spans="1:19" s="11" customFormat="1" ht="24" customHeight="1" x14ac:dyDescent="0.3">
      <c r="A10" s="23"/>
      <c r="B10" s="24"/>
      <c r="C10" s="24"/>
      <c r="I10" s="23"/>
      <c r="J10" s="23"/>
      <c r="K10" s="23"/>
      <c r="L10" s="23"/>
      <c r="M10" s="31"/>
      <c r="N10" s="193" t="s">
        <v>33</v>
      </c>
      <c r="O10" s="193"/>
      <c r="P10" s="193"/>
      <c r="Q10" s="193"/>
      <c r="R10" s="29"/>
    </row>
    <row r="11" spans="1:19" s="11" customFormat="1" ht="30.75" customHeight="1" x14ac:dyDescent="0.3">
      <c r="A11" s="23"/>
      <c r="B11" s="24"/>
      <c r="C11" s="24"/>
      <c r="I11" s="23"/>
      <c r="J11" s="23"/>
      <c r="K11" s="23"/>
      <c r="L11" s="23"/>
      <c r="M11" s="31"/>
      <c r="N11" s="192" t="s">
        <v>48</v>
      </c>
      <c r="O11" s="192"/>
      <c r="P11" s="192"/>
      <c r="Q11" s="192"/>
      <c r="R11" s="32"/>
    </row>
    <row r="12" spans="1:19" s="11" customFormat="1" ht="51" customHeight="1" x14ac:dyDescent="0.5">
      <c r="A12" s="23"/>
      <c r="B12" s="24"/>
      <c r="C12" s="24"/>
      <c r="E12" s="41"/>
      <c r="F12" s="17"/>
      <c r="G12" s="17"/>
      <c r="I12" s="23"/>
      <c r="J12" s="23"/>
      <c r="K12" s="23"/>
      <c r="L12" s="23"/>
      <c r="M12" s="31"/>
      <c r="N12" s="190" t="s">
        <v>64</v>
      </c>
      <c r="O12" s="190"/>
      <c r="P12" s="190"/>
      <c r="Q12" s="190"/>
      <c r="R12" s="32"/>
    </row>
    <row r="13" spans="1:19" s="11" customFormat="1" ht="24" customHeight="1" x14ac:dyDescent="0.3">
      <c r="A13" s="23"/>
      <c r="B13" s="24"/>
      <c r="C13" s="24"/>
      <c r="I13" s="23"/>
      <c r="J13" s="23"/>
      <c r="K13" s="23"/>
      <c r="L13" s="23"/>
      <c r="M13" s="31"/>
      <c r="N13" s="193" t="s">
        <v>33</v>
      </c>
      <c r="O13" s="193"/>
      <c r="P13" s="193"/>
      <c r="Q13" s="193"/>
      <c r="R13" s="29"/>
    </row>
    <row r="14" spans="1:19" ht="19.5" customHeight="1" x14ac:dyDescent="0.3">
      <c r="A14" s="1"/>
      <c r="I14" s="1"/>
      <c r="J14" s="1"/>
      <c r="K14" s="1"/>
      <c r="L14" s="1"/>
      <c r="M14" s="8"/>
      <c r="N14" s="196" t="s">
        <v>68</v>
      </c>
      <c r="O14" s="196"/>
      <c r="P14" s="196"/>
      <c r="Q14" s="196"/>
      <c r="R14" s="9"/>
    </row>
    <row r="15" spans="1:19" ht="14.25" customHeight="1" x14ac:dyDescent="0.3">
      <c r="A15" s="1"/>
      <c r="B15" s="12"/>
      <c r="I15" s="1"/>
      <c r="J15" s="1"/>
      <c r="K15" s="1"/>
      <c r="L15" s="1"/>
      <c r="M15" s="6"/>
      <c r="N15" s="7"/>
      <c r="O15" s="7"/>
      <c r="P15" s="7"/>
      <c r="Q15" s="7"/>
    </row>
    <row r="16" spans="1:19" ht="31.5" customHeight="1" x14ac:dyDescent="0.3">
      <c r="A16" s="197" t="s">
        <v>34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</row>
    <row r="17" spans="1:20" ht="54" customHeight="1" x14ac:dyDescent="0.3">
      <c r="A17" s="198" t="s">
        <v>57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</row>
    <row r="18" spans="1:20" ht="27.75" customHeight="1" x14ac:dyDescent="0.3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00" t="s">
        <v>35</v>
      </c>
      <c r="Q18" s="200"/>
    </row>
    <row r="19" spans="1:20" s="11" customFormat="1" ht="28.5" customHeight="1" x14ac:dyDescent="0.3">
      <c r="A19" s="206" t="s">
        <v>39</v>
      </c>
      <c r="B19" s="206" t="s">
        <v>38</v>
      </c>
      <c r="C19" s="206" t="s">
        <v>40</v>
      </c>
      <c r="D19" s="206" t="s">
        <v>5</v>
      </c>
      <c r="E19" s="201" t="s">
        <v>18</v>
      </c>
      <c r="F19" s="201" t="s">
        <v>37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10"/>
    </row>
    <row r="20" spans="1:20" s="11" customFormat="1" ht="56.25" customHeight="1" x14ac:dyDescent="0.3">
      <c r="A20" s="206"/>
      <c r="B20" s="206"/>
      <c r="C20" s="206"/>
      <c r="D20" s="206"/>
      <c r="E20" s="201"/>
      <c r="F20" s="42" t="s">
        <v>19</v>
      </c>
      <c r="G20" s="42" t="s">
        <v>20</v>
      </c>
      <c r="H20" s="42" t="s">
        <v>21</v>
      </c>
      <c r="I20" s="42" t="s">
        <v>22</v>
      </c>
      <c r="J20" s="42" t="s">
        <v>23</v>
      </c>
      <c r="K20" s="90" t="s">
        <v>24</v>
      </c>
      <c r="L20" s="90" t="s">
        <v>25</v>
      </c>
      <c r="M20" s="90" t="s">
        <v>26</v>
      </c>
      <c r="N20" s="90" t="s">
        <v>27</v>
      </c>
      <c r="O20" s="90" t="s">
        <v>28</v>
      </c>
      <c r="P20" s="90" t="s">
        <v>29</v>
      </c>
      <c r="Q20" s="90" t="s">
        <v>30</v>
      </c>
      <c r="R20" s="43" t="s">
        <v>41</v>
      </c>
    </row>
    <row r="21" spans="1:20" s="15" customFormat="1" ht="18.75" x14ac:dyDescent="0.3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4"/>
    </row>
    <row r="22" spans="1:20" s="17" customFormat="1" ht="24" customHeight="1" x14ac:dyDescent="0.3">
      <c r="A22" s="202">
        <v>1</v>
      </c>
      <c r="B22" s="203" t="s">
        <v>11</v>
      </c>
      <c r="C22" s="204" t="s">
        <v>61</v>
      </c>
      <c r="D22" s="16" t="s">
        <v>0</v>
      </c>
      <c r="E22" s="44">
        <f>SUM(F22:Q22)</f>
        <v>442005.97091000003</v>
      </c>
      <c r="F22" s="44">
        <f>SUM(F23:F28)</f>
        <v>13982.034935</v>
      </c>
      <c r="G22" s="44">
        <f t="shared" ref="G22:Q22" si="0">SUM(G23:G28)</f>
        <v>50127.903429999998</v>
      </c>
      <c r="H22" s="44">
        <f t="shared" si="0"/>
        <v>38495.8626</v>
      </c>
      <c r="I22" s="44">
        <f t="shared" si="0"/>
        <v>38761.871460000002</v>
      </c>
      <c r="J22" s="44">
        <f t="shared" si="0"/>
        <v>40816.147539999998</v>
      </c>
      <c r="K22" s="44">
        <f t="shared" si="0"/>
        <v>37287.088089999997</v>
      </c>
      <c r="L22" s="44">
        <f t="shared" si="0"/>
        <v>38519.618515000002</v>
      </c>
      <c r="M22" s="44">
        <f t="shared" si="0"/>
        <v>32506.648150000001</v>
      </c>
      <c r="N22" s="44">
        <f t="shared" si="0"/>
        <v>33491.005644999997</v>
      </c>
      <c r="O22" s="44">
        <f t="shared" si="0"/>
        <v>32142.331539999999</v>
      </c>
      <c r="P22" s="44">
        <f t="shared" si="0"/>
        <v>27812.56695</v>
      </c>
      <c r="Q22" s="44">
        <f t="shared" si="0"/>
        <v>58062.892055000004</v>
      </c>
      <c r="R22" s="45">
        <f>R25+R28</f>
        <v>385360.86521999998</v>
      </c>
    </row>
    <row r="23" spans="1:20" s="17" customFormat="1" ht="26.25" customHeight="1" x14ac:dyDescent="0.3">
      <c r="A23" s="202"/>
      <c r="B23" s="203"/>
      <c r="C23" s="204"/>
      <c r="D23" s="18" t="s">
        <v>6</v>
      </c>
      <c r="E23" s="54">
        <f t="shared" ref="E23:E27" si="1">SUM(F23:Q23)</f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46"/>
    </row>
    <row r="24" spans="1:20" s="17" customFormat="1" ht="33.75" customHeight="1" x14ac:dyDescent="0.3">
      <c r="A24" s="202"/>
      <c r="B24" s="203"/>
      <c r="C24" s="204"/>
      <c r="D24" s="18" t="s">
        <v>7</v>
      </c>
      <c r="E24" s="54">
        <f t="shared" si="1"/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4"/>
      <c r="S24" s="75"/>
    </row>
    <row r="25" spans="1:20" s="17" customFormat="1" ht="22.5" customHeight="1" x14ac:dyDescent="0.3">
      <c r="A25" s="202"/>
      <c r="B25" s="203"/>
      <c r="C25" s="204"/>
      <c r="D25" s="18" t="s">
        <v>1</v>
      </c>
      <c r="E25" s="57">
        <f>SUM(F25:Q25)</f>
        <v>438016.99691000005</v>
      </c>
      <c r="F25" s="56">
        <v>13982.034935</v>
      </c>
      <c r="G25" s="56">
        <v>50127.903429999998</v>
      </c>
      <c r="H25" s="56">
        <v>38495.8626</v>
      </c>
      <c r="I25" s="56">
        <v>38761.871460000002</v>
      </c>
      <c r="J25" s="56">
        <v>40816.147539999998</v>
      </c>
      <c r="K25" s="69">
        <v>37287.088089999997</v>
      </c>
      <c r="L25" s="56">
        <f>42788.024635-8-76.08844-3377.31768-807</f>
        <v>38519.618515000002</v>
      </c>
      <c r="M25" s="69">
        <f>32506.64815</f>
        <v>32506.648150000001</v>
      </c>
      <c r="N25" s="69">
        <v>33491.005644999997</v>
      </c>
      <c r="O25" s="69">
        <v>32142.331539999999</v>
      </c>
      <c r="P25" s="69">
        <v>27812.56695</v>
      </c>
      <c r="Q25" s="56">
        <f>62041.777055-9553+1765.141-180</f>
        <v>54073.918055000002</v>
      </c>
      <c r="R25" s="76">
        <v>385360.86521999998</v>
      </c>
      <c r="S25" s="77">
        <v>442465.40302999999</v>
      </c>
      <c r="T25" s="85">
        <f>E25-S25</f>
        <v>-4448.4061199999414</v>
      </c>
    </row>
    <row r="26" spans="1:20" s="17" customFormat="1" ht="64.5" customHeight="1" x14ac:dyDescent="0.3">
      <c r="A26" s="202"/>
      <c r="B26" s="203"/>
      <c r="C26" s="204"/>
      <c r="D26" s="18" t="s">
        <v>2</v>
      </c>
      <c r="E26" s="54">
        <f t="shared" si="1"/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6"/>
      <c r="S26" s="75"/>
    </row>
    <row r="27" spans="1:20" s="17" customFormat="1" ht="26.25" customHeight="1" x14ac:dyDescent="0.3">
      <c r="A27" s="202"/>
      <c r="B27" s="203"/>
      <c r="C27" s="204"/>
      <c r="D27" s="18" t="s">
        <v>36</v>
      </c>
      <c r="E27" s="54">
        <f t="shared" si="1"/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6"/>
      <c r="S27" s="75"/>
    </row>
    <row r="28" spans="1:20" s="17" customFormat="1" ht="29.25" customHeight="1" x14ac:dyDescent="0.3">
      <c r="A28" s="202"/>
      <c r="B28" s="203"/>
      <c r="C28" s="204"/>
      <c r="D28" s="18" t="s">
        <v>4</v>
      </c>
      <c r="E28" s="57">
        <f>SUM(F28:Q28)</f>
        <v>3988.9740000000002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69">
        <v>0</v>
      </c>
      <c r="L28" s="69">
        <v>0</v>
      </c>
      <c r="M28" s="78">
        <v>0</v>
      </c>
      <c r="N28" s="69"/>
      <c r="O28" s="69"/>
      <c r="P28" s="69"/>
      <c r="Q28" s="70">
        <f>7953.478-455-1515.803-1993.701</f>
        <v>3988.9740000000002</v>
      </c>
      <c r="R28" s="76">
        <v>0</v>
      </c>
      <c r="S28" s="75"/>
    </row>
    <row r="29" spans="1:20" s="17" customFormat="1" ht="27.75" customHeight="1" x14ac:dyDescent="0.3">
      <c r="A29" s="202" t="s">
        <v>8</v>
      </c>
      <c r="B29" s="203" t="s">
        <v>12</v>
      </c>
      <c r="C29" s="205" t="s">
        <v>62</v>
      </c>
      <c r="D29" s="16" t="s">
        <v>0</v>
      </c>
      <c r="E29" s="44">
        <f>SUM(F29:Q29)</f>
        <v>533.33010000000002</v>
      </c>
      <c r="F29" s="44">
        <f>SUM(F30:F35)</f>
        <v>0</v>
      </c>
      <c r="G29" s="44">
        <f t="shared" ref="G29:Q29" si="2">SUM(G30:G35)</f>
        <v>83.333349999999996</v>
      </c>
      <c r="H29" s="44">
        <f t="shared" si="2"/>
        <v>0</v>
      </c>
      <c r="I29" s="44">
        <f t="shared" si="2"/>
        <v>0</v>
      </c>
      <c r="J29" s="44">
        <f t="shared" si="2"/>
        <v>0</v>
      </c>
      <c r="K29" s="44">
        <f t="shared" si="2"/>
        <v>0</v>
      </c>
      <c r="L29" s="44">
        <f t="shared" si="2"/>
        <v>32.9</v>
      </c>
      <c r="M29" s="44">
        <f t="shared" si="2"/>
        <v>83.33429000000001</v>
      </c>
      <c r="N29" s="44">
        <f t="shared" si="2"/>
        <v>217.09571</v>
      </c>
      <c r="O29" s="44">
        <f t="shared" si="2"/>
        <v>0</v>
      </c>
      <c r="P29" s="44">
        <f t="shared" si="2"/>
        <v>0</v>
      </c>
      <c r="Q29" s="44">
        <f t="shared" si="2"/>
        <v>116.66674999999999</v>
      </c>
      <c r="R29" s="45">
        <f>R32+R35</f>
        <v>341.06207000000001</v>
      </c>
      <c r="S29" s="48"/>
    </row>
    <row r="30" spans="1:20" s="17" customFormat="1" ht="25.5" customHeight="1" x14ac:dyDescent="0.3">
      <c r="A30" s="202"/>
      <c r="B30" s="203"/>
      <c r="C30" s="205"/>
      <c r="D30" s="18" t="s">
        <v>6</v>
      </c>
      <c r="E30" s="54">
        <f t="shared" ref="E30:E35" si="3">SUM(F30:Q30)</f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46"/>
    </row>
    <row r="31" spans="1:20" s="17" customFormat="1" ht="36" customHeight="1" x14ac:dyDescent="0.3">
      <c r="A31" s="202"/>
      <c r="B31" s="203"/>
      <c r="C31" s="205"/>
      <c r="D31" s="18" t="s">
        <v>7</v>
      </c>
      <c r="E31" s="54">
        <f t="shared" si="3"/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46"/>
    </row>
    <row r="32" spans="1:20" s="17" customFormat="1" ht="28.5" customHeight="1" x14ac:dyDescent="0.3">
      <c r="A32" s="202"/>
      <c r="B32" s="203"/>
      <c r="C32" s="205"/>
      <c r="D32" s="18" t="s">
        <v>1</v>
      </c>
      <c r="E32" s="54">
        <f t="shared" si="3"/>
        <v>533.33010000000002</v>
      </c>
      <c r="F32" s="56">
        <v>0</v>
      </c>
      <c r="G32" s="56">
        <v>83.333349999999996</v>
      </c>
      <c r="H32" s="56">
        <v>0</v>
      </c>
      <c r="I32" s="56">
        <v>0</v>
      </c>
      <c r="J32" s="56">
        <v>0</v>
      </c>
      <c r="K32" s="56">
        <v>0</v>
      </c>
      <c r="L32" s="56">
        <v>32.9</v>
      </c>
      <c r="M32" s="56">
        <f>116.23429-32.9</f>
        <v>83.33429000000001</v>
      </c>
      <c r="N32" s="56">
        <f>333.33-116.23429</f>
        <v>217.09571</v>
      </c>
      <c r="O32" s="56">
        <v>0</v>
      </c>
      <c r="P32" s="56">
        <v>0</v>
      </c>
      <c r="Q32" s="56">
        <v>116.66674999999999</v>
      </c>
      <c r="R32" s="47">
        <v>341.06207000000001</v>
      </c>
    </row>
    <row r="33" spans="1:19" s="17" customFormat="1" ht="58.5" customHeight="1" x14ac:dyDescent="0.3">
      <c r="A33" s="202"/>
      <c r="B33" s="203"/>
      <c r="C33" s="205"/>
      <c r="D33" s="18" t="s">
        <v>2</v>
      </c>
      <c r="E33" s="54">
        <f t="shared" si="3"/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47"/>
    </row>
    <row r="34" spans="1:19" s="17" customFormat="1" ht="25.5" customHeight="1" x14ac:dyDescent="0.3">
      <c r="A34" s="202"/>
      <c r="B34" s="203"/>
      <c r="C34" s="205"/>
      <c r="D34" s="18" t="s">
        <v>36</v>
      </c>
      <c r="E34" s="54">
        <f t="shared" si="3"/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47"/>
    </row>
    <row r="35" spans="1:19" s="17" customFormat="1" ht="29.25" customHeight="1" x14ac:dyDescent="0.3">
      <c r="A35" s="202"/>
      <c r="B35" s="203"/>
      <c r="C35" s="205"/>
      <c r="D35" s="18" t="s">
        <v>4</v>
      </c>
      <c r="E35" s="54">
        <f t="shared" si="3"/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47"/>
    </row>
    <row r="36" spans="1:19" s="17" customFormat="1" ht="28.5" customHeight="1" x14ac:dyDescent="0.3">
      <c r="A36" s="202" t="s">
        <v>9</v>
      </c>
      <c r="B36" s="203" t="s">
        <v>13</v>
      </c>
      <c r="C36" s="207" t="s">
        <v>52</v>
      </c>
      <c r="D36" s="16" t="s">
        <v>0</v>
      </c>
      <c r="E36" s="44">
        <f>SUM(F36:Q36)</f>
        <v>6182.1</v>
      </c>
      <c r="F36" s="44">
        <f>SUM(F37:F42)</f>
        <v>42.245739999999991</v>
      </c>
      <c r="G36" s="44">
        <f t="shared" ref="G36:Q36" si="4">SUM(G37:G42)</f>
        <v>533.81740000000002</v>
      </c>
      <c r="H36" s="44">
        <f t="shared" si="4"/>
        <v>952.77320999999995</v>
      </c>
      <c r="I36" s="44">
        <f t="shared" si="4"/>
        <v>529.66009999999994</v>
      </c>
      <c r="J36" s="44">
        <f t="shared" si="4"/>
        <v>277.30900000000003</v>
      </c>
      <c r="K36" s="44">
        <f t="shared" si="4"/>
        <v>687.46</v>
      </c>
      <c r="L36" s="44">
        <f t="shared" si="4"/>
        <v>1283.94415</v>
      </c>
      <c r="M36" s="44">
        <f t="shared" si="4"/>
        <v>629.71699999999998</v>
      </c>
      <c r="N36" s="44">
        <f t="shared" si="4"/>
        <v>264.18900000000002</v>
      </c>
      <c r="O36" s="44">
        <f t="shared" si="4"/>
        <v>254.03699999999998</v>
      </c>
      <c r="P36" s="44">
        <f t="shared" si="4"/>
        <v>642.18541000000005</v>
      </c>
      <c r="Q36" s="44">
        <f t="shared" si="4"/>
        <v>84.761989999999997</v>
      </c>
      <c r="R36" s="45">
        <f>R37+R38+R41</f>
        <v>7616.5969999999998</v>
      </c>
    </row>
    <row r="37" spans="1:19" s="17" customFormat="1" ht="32.25" customHeight="1" x14ac:dyDescent="0.3">
      <c r="A37" s="202"/>
      <c r="B37" s="203"/>
      <c r="C37" s="207"/>
      <c r="D37" s="18" t="s">
        <v>6</v>
      </c>
      <c r="E37" s="54">
        <f t="shared" ref="E37:E42" si="5">SUM(F37:Q37)</f>
        <v>5128.2</v>
      </c>
      <c r="F37" s="79">
        <f>0.075+32.74</f>
        <v>32.815000000000005</v>
      </c>
      <c r="G37" s="70">
        <f>532.075-107.5276</f>
        <v>424.54740000000004</v>
      </c>
      <c r="H37" s="70">
        <f>346.605+136.17+349.66921</f>
        <v>832.44421</v>
      </c>
      <c r="I37" s="70">
        <f>322.945+21.84+134.7</f>
        <v>479.48499999999996</v>
      </c>
      <c r="J37" s="69">
        <f>213.709+39</f>
        <v>252.709</v>
      </c>
      <c r="K37" s="69">
        <f>503.241+148.2</f>
        <v>651.44100000000003</v>
      </c>
      <c r="L37" s="55">
        <f>960.901+211.953-45.23885+70</f>
        <v>1197.6151500000001</v>
      </c>
      <c r="M37" s="55">
        <f>680.15+19.567-70</f>
        <v>629.71699999999998</v>
      </c>
      <c r="N37" s="69">
        <f>73.675+11.695+167.399</f>
        <v>252.76900000000001</v>
      </c>
      <c r="O37" s="70">
        <f>0.075+32</f>
        <v>32.075000000000003</v>
      </c>
      <c r="P37" s="70">
        <f>550.375+11.7-254.60575</f>
        <v>307.46925000000005</v>
      </c>
      <c r="Q37" s="69">
        <v>35.112990000000003</v>
      </c>
      <c r="R37" s="47">
        <v>4852.6000000000004</v>
      </c>
    </row>
    <row r="38" spans="1:19" s="17" customFormat="1" ht="36" customHeight="1" x14ac:dyDescent="0.3">
      <c r="A38" s="202"/>
      <c r="B38" s="203"/>
      <c r="C38" s="207"/>
      <c r="D38" s="18" t="s">
        <v>7</v>
      </c>
      <c r="E38" s="54">
        <f t="shared" si="5"/>
        <v>1053.9000000000001</v>
      </c>
      <c r="F38" s="79">
        <f>159.6+70.285-220.45426</f>
        <v>9.4307399999999859</v>
      </c>
      <c r="G38" s="79">
        <f>65.37+48.4-4.5</f>
        <v>109.27000000000001</v>
      </c>
      <c r="H38" s="79">
        <v>120.32899999999999</v>
      </c>
      <c r="I38" s="79">
        <v>50.1751</v>
      </c>
      <c r="J38" s="79">
        <v>24.6</v>
      </c>
      <c r="K38" s="69">
        <f>24.6+11.419</f>
        <v>36.019000000000005</v>
      </c>
      <c r="L38" s="55">
        <f>20.91+5.419+60</f>
        <v>86.329000000000008</v>
      </c>
      <c r="M38" s="70">
        <v>0</v>
      </c>
      <c r="N38" s="70">
        <v>11.42</v>
      </c>
      <c r="O38" s="55">
        <f>281.962-60</f>
        <v>221.96199999999999</v>
      </c>
      <c r="P38" s="70">
        <v>334.71616</v>
      </c>
      <c r="Q38" s="70">
        <v>49.649000000000001</v>
      </c>
      <c r="R38" s="47">
        <f>469.8+1147.097</f>
        <v>1616.8969999999999</v>
      </c>
      <c r="S38" s="34"/>
    </row>
    <row r="39" spans="1:19" s="17" customFormat="1" ht="22.5" customHeight="1" x14ac:dyDescent="0.3">
      <c r="A39" s="202"/>
      <c r="B39" s="203"/>
      <c r="C39" s="207"/>
      <c r="D39" s="18" t="s">
        <v>1</v>
      </c>
      <c r="E39" s="54">
        <f t="shared" si="5"/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/>
      <c r="R39" s="47"/>
    </row>
    <row r="40" spans="1:19" s="17" customFormat="1" ht="75" x14ac:dyDescent="0.3">
      <c r="A40" s="202"/>
      <c r="B40" s="203"/>
      <c r="C40" s="207"/>
      <c r="D40" s="18" t="s">
        <v>2</v>
      </c>
      <c r="E40" s="54">
        <f t="shared" si="5"/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47"/>
    </row>
    <row r="41" spans="1:19" s="17" customFormat="1" ht="28.5" customHeight="1" x14ac:dyDescent="0.3">
      <c r="A41" s="202"/>
      <c r="B41" s="203"/>
      <c r="C41" s="207"/>
      <c r="D41" s="18" t="s">
        <v>36</v>
      </c>
      <c r="E41" s="54">
        <f t="shared" si="5"/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47">
        <v>1147.0999999999999</v>
      </c>
    </row>
    <row r="42" spans="1:19" s="17" customFormat="1" ht="27.75" customHeight="1" x14ac:dyDescent="0.3">
      <c r="A42" s="202"/>
      <c r="B42" s="203"/>
      <c r="C42" s="207"/>
      <c r="D42" s="18" t="s">
        <v>4</v>
      </c>
      <c r="E42" s="54">
        <f t="shared" si="5"/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46"/>
    </row>
    <row r="43" spans="1:19" s="17" customFormat="1" ht="27.75" customHeight="1" x14ac:dyDescent="0.3">
      <c r="A43" s="202" t="s">
        <v>10</v>
      </c>
      <c r="B43" s="203" t="s">
        <v>14</v>
      </c>
      <c r="C43" s="208" t="s">
        <v>65</v>
      </c>
      <c r="D43" s="16" t="s">
        <v>0</v>
      </c>
      <c r="E43" s="44">
        <f>SUM(F43:Q43)</f>
        <v>5126.5684699999993</v>
      </c>
      <c r="F43" s="44">
        <f>SUM(F44:F49)</f>
        <v>0</v>
      </c>
      <c r="G43" s="44">
        <f t="shared" ref="G43:Q43" si="6">SUM(G44:G49)</f>
        <v>443.56279999999998</v>
      </c>
      <c r="H43" s="44">
        <f t="shared" si="6"/>
        <v>498.56279999999998</v>
      </c>
      <c r="I43" s="44">
        <f t="shared" si="6"/>
        <v>460.56279999999998</v>
      </c>
      <c r="J43" s="44">
        <f t="shared" si="6"/>
        <v>405.56279999999998</v>
      </c>
      <c r="K43" s="44">
        <f t="shared" si="6"/>
        <v>436.14814999999999</v>
      </c>
      <c r="L43" s="44">
        <f t="shared" si="6"/>
        <v>561.5258</v>
      </c>
      <c r="M43" s="44">
        <f t="shared" si="6"/>
        <v>381.92579999999998</v>
      </c>
      <c r="N43" s="44">
        <f t="shared" si="6"/>
        <v>635.52332000000001</v>
      </c>
      <c r="O43" s="44">
        <f t="shared" si="6"/>
        <v>451.92579999999998</v>
      </c>
      <c r="P43" s="44">
        <f t="shared" si="6"/>
        <v>523.92579999999998</v>
      </c>
      <c r="Q43" s="44">
        <f t="shared" si="6"/>
        <v>327.34259999999995</v>
      </c>
      <c r="R43" s="45">
        <f>R45+R46+R49</f>
        <v>7462.5356499999998</v>
      </c>
    </row>
    <row r="44" spans="1:19" s="17" customFormat="1" ht="23.25" customHeight="1" x14ac:dyDescent="0.3">
      <c r="A44" s="202"/>
      <c r="B44" s="203"/>
      <c r="C44" s="208"/>
      <c r="D44" s="18" t="s">
        <v>6</v>
      </c>
      <c r="E44" s="54">
        <f t="shared" ref="E44:E49" si="7">SUM(F44:Q44)</f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46"/>
    </row>
    <row r="45" spans="1:19" s="17" customFormat="1" ht="36.75" customHeight="1" x14ac:dyDescent="0.3">
      <c r="A45" s="202"/>
      <c r="B45" s="203"/>
      <c r="C45" s="208"/>
      <c r="D45" s="18" t="s">
        <v>7</v>
      </c>
      <c r="E45" s="54">
        <f>SUM(F45:Q45)</f>
        <v>179.6</v>
      </c>
      <c r="F45" s="55">
        <v>0</v>
      </c>
      <c r="G45" s="55">
        <v>0</v>
      </c>
      <c r="H45" s="55">
        <v>0</v>
      </c>
      <c r="I45" s="55"/>
      <c r="J45" s="55">
        <v>0</v>
      </c>
      <c r="K45" s="55">
        <v>0</v>
      </c>
      <c r="L45" s="55">
        <v>179.6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47">
        <v>175.3</v>
      </c>
    </row>
    <row r="46" spans="1:19" s="17" customFormat="1" ht="26.25" customHeight="1" x14ac:dyDescent="0.3">
      <c r="A46" s="202"/>
      <c r="B46" s="203"/>
      <c r="C46" s="208"/>
      <c r="D46" s="18" t="s">
        <v>1</v>
      </c>
      <c r="E46" s="57">
        <f>SUM(F46:Q46)</f>
        <v>4946.9684699999998</v>
      </c>
      <c r="F46" s="82">
        <v>0</v>
      </c>
      <c r="G46" s="55">
        <v>443.56279999999998</v>
      </c>
      <c r="H46" s="55">
        <v>498.56279999999998</v>
      </c>
      <c r="I46" s="55">
        <v>460.56279999999998</v>
      </c>
      <c r="J46" s="55">
        <v>405.56279999999998</v>
      </c>
      <c r="K46" s="55">
        <v>436.14814999999999</v>
      </c>
      <c r="L46" s="55">
        <v>381.92579999999998</v>
      </c>
      <c r="M46" s="55">
        <v>381.92579999999998</v>
      </c>
      <c r="N46" s="55">
        <v>635.52332000000001</v>
      </c>
      <c r="O46" s="55">
        <v>451.92579999999998</v>
      </c>
      <c r="P46" s="55">
        <v>523.92579999999998</v>
      </c>
      <c r="Q46" s="55">
        <f>1557.3426-1230</f>
        <v>327.34259999999995</v>
      </c>
      <c r="R46" s="47">
        <v>7287.2356499999996</v>
      </c>
    </row>
    <row r="47" spans="1:19" s="17" customFormat="1" ht="51" customHeight="1" x14ac:dyDescent="0.3">
      <c r="A47" s="202"/>
      <c r="B47" s="203"/>
      <c r="C47" s="208"/>
      <c r="D47" s="18" t="s">
        <v>2</v>
      </c>
      <c r="E47" s="54">
        <f t="shared" si="7"/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47"/>
    </row>
    <row r="48" spans="1:19" s="17" customFormat="1" ht="33.75" customHeight="1" x14ac:dyDescent="0.3">
      <c r="A48" s="202"/>
      <c r="B48" s="203"/>
      <c r="C48" s="208"/>
      <c r="D48" s="18" t="s">
        <v>36</v>
      </c>
      <c r="E48" s="54">
        <f t="shared" si="7"/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47"/>
    </row>
    <row r="49" spans="1:18" s="17" customFormat="1" ht="35.25" customHeight="1" x14ac:dyDescent="0.3">
      <c r="A49" s="202"/>
      <c r="B49" s="203"/>
      <c r="C49" s="208"/>
      <c r="D49" s="18" t="s">
        <v>4</v>
      </c>
      <c r="E49" s="54">
        <f t="shared" si="7"/>
        <v>0</v>
      </c>
      <c r="F49" s="56">
        <v>0</v>
      </c>
      <c r="G49" s="56">
        <v>0</v>
      </c>
      <c r="H49" s="56">
        <v>0</v>
      </c>
      <c r="I49" s="49">
        <v>0</v>
      </c>
      <c r="J49" s="56">
        <v>0</v>
      </c>
      <c r="K49" s="56"/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47"/>
    </row>
    <row r="50" spans="1:18" s="17" customFormat="1" ht="24" customHeight="1" x14ac:dyDescent="0.3">
      <c r="A50" s="202" t="s">
        <v>42</v>
      </c>
      <c r="B50" s="203" t="s">
        <v>15</v>
      </c>
      <c r="C50" s="209" t="s">
        <v>51</v>
      </c>
      <c r="D50" s="19" t="s">
        <v>0</v>
      </c>
      <c r="E50" s="44">
        <f>SUM(F50:Q50)</f>
        <v>1385</v>
      </c>
      <c r="F50" s="50">
        <f>SUM(F51:F56)</f>
        <v>0</v>
      </c>
      <c r="G50" s="50">
        <f t="shared" ref="G50:Q50" si="8">SUM(G51:G56)</f>
        <v>94</v>
      </c>
      <c r="H50" s="50">
        <f t="shared" si="8"/>
        <v>180</v>
      </c>
      <c r="I50" s="50">
        <f t="shared" si="8"/>
        <v>131</v>
      </c>
      <c r="J50" s="50">
        <f t="shared" si="8"/>
        <v>150</v>
      </c>
      <c r="K50" s="50">
        <f t="shared" si="8"/>
        <v>51</v>
      </c>
      <c r="L50" s="50">
        <f t="shared" si="8"/>
        <v>130</v>
      </c>
      <c r="M50" s="50">
        <f t="shared" si="8"/>
        <v>74</v>
      </c>
      <c r="N50" s="50">
        <f t="shared" si="8"/>
        <v>495</v>
      </c>
      <c r="O50" s="50">
        <f t="shared" si="8"/>
        <v>80</v>
      </c>
      <c r="P50" s="50">
        <f t="shared" si="8"/>
        <v>0</v>
      </c>
      <c r="Q50" s="50">
        <f t="shared" si="8"/>
        <v>0</v>
      </c>
      <c r="R50" s="45">
        <f>R53+R56</f>
        <v>833.9</v>
      </c>
    </row>
    <row r="51" spans="1:18" s="17" customFormat="1" ht="22.5" customHeight="1" x14ac:dyDescent="0.3">
      <c r="A51" s="202"/>
      <c r="B51" s="203"/>
      <c r="C51" s="209"/>
      <c r="D51" s="20" t="s">
        <v>6</v>
      </c>
      <c r="E51" s="54">
        <f t="shared" ref="E51:E56" si="9">SUM(F51:Q51)</f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46"/>
    </row>
    <row r="52" spans="1:18" s="17" customFormat="1" ht="41.25" customHeight="1" x14ac:dyDescent="0.3">
      <c r="A52" s="202"/>
      <c r="B52" s="203"/>
      <c r="C52" s="209"/>
      <c r="D52" s="20" t="s">
        <v>7</v>
      </c>
      <c r="E52" s="54">
        <f t="shared" si="9"/>
        <v>0</v>
      </c>
      <c r="F52" s="51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51">
        <v>0</v>
      </c>
      <c r="Q52" s="51">
        <v>0</v>
      </c>
      <c r="R52" s="46"/>
    </row>
    <row r="53" spans="1:18" s="17" customFormat="1" ht="22.5" customHeight="1" x14ac:dyDescent="0.3">
      <c r="A53" s="202"/>
      <c r="B53" s="203"/>
      <c r="C53" s="209"/>
      <c r="D53" s="20" t="s">
        <v>1</v>
      </c>
      <c r="E53" s="54">
        <f t="shared" si="9"/>
        <v>1385</v>
      </c>
      <c r="F53" s="73"/>
      <c r="G53" s="73">
        <f>29+65</f>
        <v>94</v>
      </c>
      <c r="H53" s="51">
        <f>30+105+30+15</f>
        <v>180</v>
      </c>
      <c r="I53" s="51">
        <f>50+37+20+24</f>
        <v>131</v>
      </c>
      <c r="J53" s="51">
        <f>60+70+20</f>
        <v>150</v>
      </c>
      <c r="K53" s="51">
        <f>20+15+16</f>
        <v>51</v>
      </c>
      <c r="L53" s="51">
        <f>30+100</f>
        <v>130</v>
      </c>
      <c r="M53" s="51">
        <f>20+54</f>
        <v>74</v>
      </c>
      <c r="N53" s="51">
        <f>60+20+15+500-100</f>
        <v>495</v>
      </c>
      <c r="O53" s="51">
        <f>45+30+5</f>
        <v>80</v>
      </c>
      <c r="P53" s="51">
        <v>0</v>
      </c>
      <c r="Q53" s="51">
        <v>0</v>
      </c>
      <c r="R53" s="47">
        <f>310+108.9+205</f>
        <v>623.9</v>
      </c>
    </row>
    <row r="54" spans="1:18" s="17" customFormat="1" ht="60" customHeight="1" x14ac:dyDescent="0.3">
      <c r="A54" s="202"/>
      <c r="B54" s="203"/>
      <c r="C54" s="209"/>
      <c r="D54" s="20" t="s">
        <v>2</v>
      </c>
      <c r="E54" s="54">
        <f t="shared" si="9"/>
        <v>0</v>
      </c>
      <c r="F54" s="51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51">
        <v>0</v>
      </c>
      <c r="Q54" s="51">
        <v>0</v>
      </c>
      <c r="R54" s="47"/>
    </row>
    <row r="55" spans="1:18" s="17" customFormat="1" ht="33.75" customHeight="1" x14ac:dyDescent="0.3">
      <c r="A55" s="202"/>
      <c r="B55" s="203"/>
      <c r="C55" s="209"/>
      <c r="D55" s="18" t="s">
        <v>36</v>
      </c>
      <c r="E55" s="54">
        <f t="shared" si="9"/>
        <v>0</v>
      </c>
      <c r="F55" s="55">
        <v>0</v>
      </c>
      <c r="G55" s="70">
        <v>0</v>
      </c>
      <c r="H55" s="84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55">
        <v>0</v>
      </c>
      <c r="Q55" s="55">
        <v>0</v>
      </c>
      <c r="R55" s="47"/>
    </row>
    <row r="56" spans="1:18" s="17" customFormat="1" ht="22.5" customHeight="1" x14ac:dyDescent="0.3">
      <c r="A56" s="202"/>
      <c r="B56" s="203"/>
      <c r="C56" s="209"/>
      <c r="D56" s="20" t="s">
        <v>4</v>
      </c>
      <c r="E56" s="54">
        <f t="shared" si="9"/>
        <v>0</v>
      </c>
      <c r="F56" s="51">
        <v>0</v>
      </c>
      <c r="G56" s="73">
        <f>65-65</f>
        <v>0</v>
      </c>
      <c r="H56" s="51">
        <f>15-15</f>
        <v>0</v>
      </c>
      <c r="I56" s="51">
        <f>24-24</f>
        <v>0</v>
      </c>
      <c r="J56" s="51">
        <v>0</v>
      </c>
      <c r="K56" s="51">
        <f>16-16</f>
        <v>0</v>
      </c>
      <c r="L56" s="51">
        <v>0</v>
      </c>
      <c r="M56" s="51">
        <v>0</v>
      </c>
      <c r="N56" s="51">
        <v>0</v>
      </c>
      <c r="O56" s="51">
        <f>5-5</f>
        <v>0</v>
      </c>
      <c r="P56" s="51">
        <v>0</v>
      </c>
      <c r="Q56" s="73"/>
      <c r="R56" s="47">
        <f>90+60+60</f>
        <v>210</v>
      </c>
    </row>
    <row r="57" spans="1:18" s="17" customFormat="1" ht="22.5" customHeight="1" x14ac:dyDescent="0.3">
      <c r="A57" s="202" t="s">
        <v>43</v>
      </c>
      <c r="B57" s="203" t="s">
        <v>16</v>
      </c>
      <c r="C57" s="209" t="s">
        <v>51</v>
      </c>
      <c r="D57" s="19" t="s">
        <v>0</v>
      </c>
      <c r="E57" s="44">
        <f>SUM(F57:Q57)</f>
        <v>60</v>
      </c>
      <c r="F57" s="50">
        <f>SUM(F58:F63)</f>
        <v>0</v>
      </c>
      <c r="G57" s="50">
        <f t="shared" ref="G57:Q57" si="10">SUM(G58:G63)</f>
        <v>0</v>
      </c>
      <c r="H57" s="50">
        <f t="shared" si="10"/>
        <v>0</v>
      </c>
      <c r="I57" s="50">
        <f t="shared" si="10"/>
        <v>0</v>
      </c>
      <c r="J57" s="50">
        <f t="shared" si="10"/>
        <v>0</v>
      </c>
      <c r="K57" s="50">
        <f t="shared" si="10"/>
        <v>0</v>
      </c>
      <c r="L57" s="50">
        <f t="shared" si="10"/>
        <v>0</v>
      </c>
      <c r="M57" s="50">
        <f t="shared" si="10"/>
        <v>0</v>
      </c>
      <c r="N57" s="50">
        <f t="shared" si="10"/>
        <v>60</v>
      </c>
      <c r="O57" s="50">
        <f t="shared" si="10"/>
        <v>0</v>
      </c>
      <c r="P57" s="50">
        <f t="shared" si="10"/>
        <v>0</v>
      </c>
      <c r="Q57" s="50">
        <f t="shared" si="10"/>
        <v>0</v>
      </c>
      <c r="R57" s="45">
        <f>R60</f>
        <v>60</v>
      </c>
    </row>
    <row r="58" spans="1:18" s="17" customFormat="1" ht="22.5" customHeight="1" x14ac:dyDescent="0.3">
      <c r="A58" s="202"/>
      <c r="B58" s="203"/>
      <c r="C58" s="209"/>
      <c r="D58" s="20" t="s">
        <v>6</v>
      </c>
      <c r="E58" s="54">
        <f t="shared" ref="E58:E63" si="11">SUM(F58:Q58)</f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46"/>
    </row>
    <row r="59" spans="1:18" s="17" customFormat="1" ht="39.75" customHeight="1" x14ac:dyDescent="0.3">
      <c r="A59" s="202"/>
      <c r="B59" s="203"/>
      <c r="C59" s="209"/>
      <c r="D59" s="20" t="s">
        <v>7</v>
      </c>
      <c r="E59" s="54">
        <f t="shared" si="11"/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46"/>
    </row>
    <row r="60" spans="1:18" s="17" customFormat="1" ht="28.5" customHeight="1" x14ac:dyDescent="0.3">
      <c r="A60" s="202"/>
      <c r="B60" s="203"/>
      <c r="C60" s="209"/>
      <c r="D60" s="20" t="s">
        <v>1</v>
      </c>
      <c r="E60" s="54">
        <f t="shared" si="11"/>
        <v>60</v>
      </c>
      <c r="F60" s="51">
        <v>0</v>
      </c>
      <c r="G60" s="51">
        <v>0</v>
      </c>
      <c r="H60" s="51">
        <v>0</v>
      </c>
      <c r="I60" s="51"/>
      <c r="J60" s="51">
        <v>0</v>
      </c>
      <c r="K60" s="51">
        <v>0</v>
      </c>
      <c r="L60" s="51">
        <v>0</v>
      </c>
      <c r="M60" s="51">
        <v>0</v>
      </c>
      <c r="N60" s="51">
        <v>60</v>
      </c>
      <c r="O60" s="51">
        <v>0</v>
      </c>
      <c r="P60" s="51">
        <v>0</v>
      </c>
      <c r="Q60" s="51">
        <v>0</v>
      </c>
      <c r="R60" s="47">
        <v>60</v>
      </c>
    </row>
    <row r="61" spans="1:18" s="17" customFormat="1" ht="60" customHeight="1" x14ac:dyDescent="0.3">
      <c r="A61" s="202"/>
      <c r="B61" s="203"/>
      <c r="C61" s="209"/>
      <c r="D61" s="20" t="s">
        <v>2</v>
      </c>
      <c r="E61" s="54">
        <f t="shared" si="11"/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46"/>
    </row>
    <row r="62" spans="1:18" s="17" customFormat="1" ht="33.75" customHeight="1" x14ac:dyDescent="0.3">
      <c r="A62" s="202"/>
      <c r="B62" s="203"/>
      <c r="C62" s="209"/>
      <c r="D62" s="18" t="s">
        <v>36</v>
      </c>
      <c r="E62" s="54">
        <f t="shared" si="11"/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46"/>
    </row>
    <row r="63" spans="1:18" s="17" customFormat="1" ht="28.5" customHeight="1" x14ac:dyDescent="0.3">
      <c r="A63" s="202"/>
      <c r="B63" s="203"/>
      <c r="C63" s="209"/>
      <c r="D63" s="20" t="s">
        <v>4</v>
      </c>
      <c r="E63" s="54">
        <f t="shared" si="11"/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46"/>
    </row>
    <row r="64" spans="1:18" s="17" customFormat="1" ht="24.75" customHeight="1" x14ac:dyDescent="0.3">
      <c r="A64" s="202" t="s">
        <v>44</v>
      </c>
      <c r="B64" s="203" t="s">
        <v>17</v>
      </c>
      <c r="C64" s="209" t="s">
        <v>51</v>
      </c>
      <c r="D64" s="19" t="s">
        <v>0</v>
      </c>
      <c r="E64" s="44">
        <f>SUM(F64:Q64)</f>
        <v>125</v>
      </c>
      <c r="F64" s="50">
        <f>SUM(F65:F70)</f>
        <v>0</v>
      </c>
      <c r="G64" s="50">
        <f t="shared" ref="G64:Q64" si="12">SUM(G65:G70)</f>
        <v>0</v>
      </c>
      <c r="H64" s="50">
        <f t="shared" si="12"/>
        <v>0</v>
      </c>
      <c r="I64" s="50">
        <f t="shared" si="12"/>
        <v>0</v>
      </c>
      <c r="J64" s="50">
        <f t="shared" si="12"/>
        <v>0</v>
      </c>
      <c r="K64" s="50">
        <f t="shared" si="12"/>
        <v>0</v>
      </c>
      <c r="L64" s="50">
        <f t="shared" si="12"/>
        <v>0</v>
      </c>
      <c r="M64" s="50">
        <f t="shared" si="12"/>
        <v>125</v>
      </c>
      <c r="N64" s="50">
        <f t="shared" si="12"/>
        <v>0</v>
      </c>
      <c r="O64" s="50">
        <f t="shared" si="12"/>
        <v>0</v>
      </c>
      <c r="P64" s="50">
        <f t="shared" si="12"/>
        <v>0</v>
      </c>
      <c r="Q64" s="50">
        <f t="shared" si="12"/>
        <v>0</v>
      </c>
      <c r="R64" s="45">
        <f>R67</f>
        <v>125</v>
      </c>
    </row>
    <row r="65" spans="1:18" s="17" customFormat="1" ht="32.25" customHeight="1" x14ac:dyDescent="0.3">
      <c r="A65" s="202"/>
      <c r="B65" s="203"/>
      <c r="C65" s="209"/>
      <c r="D65" s="20" t="s">
        <v>6</v>
      </c>
      <c r="E65" s="54">
        <f t="shared" ref="E65:E70" si="13">SUM(F65:Q65)</f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46"/>
    </row>
    <row r="66" spans="1:18" s="17" customFormat="1" ht="39.75" customHeight="1" x14ac:dyDescent="0.3">
      <c r="A66" s="202"/>
      <c r="B66" s="203"/>
      <c r="C66" s="209"/>
      <c r="D66" s="20" t="s">
        <v>7</v>
      </c>
      <c r="E66" s="54">
        <f t="shared" si="13"/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46"/>
    </row>
    <row r="67" spans="1:18" s="17" customFormat="1" ht="30" customHeight="1" x14ac:dyDescent="0.3">
      <c r="A67" s="202"/>
      <c r="B67" s="203"/>
      <c r="C67" s="209"/>
      <c r="D67" s="20" t="s">
        <v>1</v>
      </c>
      <c r="E67" s="54">
        <f t="shared" si="13"/>
        <v>125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/>
      <c r="L67" s="51">
        <v>0</v>
      </c>
      <c r="M67" s="51">
        <v>125</v>
      </c>
      <c r="N67" s="51">
        <v>0</v>
      </c>
      <c r="O67" s="51">
        <v>0</v>
      </c>
      <c r="P67" s="51">
        <v>0</v>
      </c>
      <c r="Q67" s="51">
        <v>0</v>
      </c>
      <c r="R67" s="47">
        <v>125</v>
      </c>
    </row>
    <row r="68" spans="1:18" s="17" customFormat="1" ht="60" customHeight="1" x14ac:dyDescent="0.3">
      <c r="A68" s="202"/>
      <c r="B68" s="203"/>
      <c r="C68" s="209"/>
      <c r="D68" s="20" t="s">
        <v>2</v>
      </c>
      <c r="E68" s="54">
        <f t="shared" si="13"/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46"/>
    </row>
    <row r="69" spans="1:18" s="17" customFormat="1" ht="33.75" customHeight="1" x14ac:dyDescent="0.3">
      <c r="A69" s="202"/>
      <c r="B69" s="203"/>
      <c r="C69" s="209"/>
      <c r="D69" s="18" t="s">
        <v>36</v>
      </c>
      <c r="E69" s="54">
        <f t="shared" si="13"/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46"/>
    </row>
    <row r="70" spans="1:18" s="17" customFormat="1" ht="27.75" customHeight="1" x14ac:dyDescent="0.3">
      <c r="A70" s="202"/>
      <c r="B70" s="203"/>
      <c r="C70" s="209"/>
      <c r="D70" s="20" t="s">
        <v>4</v>
      </c>
      <c r="E70" s="54">
        <f t="shared" si="13"/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46"/>
    </row>
    <row r="71" spans="1:18" s="17" customFormat="1" ht="27.75" customHeight="1" x14ac:dyDescent="0.3">
      <c r="A71" s="202" t="s">
        <v>45</v>
      </c>
      <c r="B71" s="203" t="s">
        <v>58</v>
      </c>
      <c r="C71" s="209" t="s">
        <v>51</v>
      </c>
      <c r="D71" s="19" t="s">
        <v>0</v>
      </c>
      <c r="E71" s="44">
        <f>SUM(F71:Q71)</f>
        <v>0</v>
      </c>
      <c r="F71" s="50">
        <f>SUM(F72:F77)</f>
        <v>0</v>
      </c>
      <c r="G71" s="50">
        <f t="shared" ref="G71:Q71" si="14">SUM(G72:G77)</f>
        <v>0</v>
      </c>
      <c r="H71" s="50">
        <f t="shared" si="14"/>
        <v>0</v>
      </c>
      <c r="I71" s="50">
        <f t="shared" si="14"/>
        <v>0</v>
      </c>
      <c r="J71" s="50">
        <f t="shared" si="14"/>
        <v>0</v>
      </c>
      <c r="K71" s="50">
        <f t="shared" si="14"/>
        <v>0</v>
      </c>
      <c r="L71" s="50">
        <f t="shared" si="14"/>
        <v>0</v>
      </c>
      <c r="M71" s="50">
        <f t="shared" si="14"/>
        <v>0</v>
      </c>
      <c r="N71" s="50">
        <f t="shared" si="14"/>
        <v>0</v>
      </c>
      <c r="O71" s="50">
        <f t="shared" si="14"/>
        <v>0</v>
      </c>
      <c r="P71" s="50">
        <f t="shared" si="14"/>
        <v>0</v>
      </c>
      <c r="Q71" s="50">
        <f t="shared" si="14"/>
        <v>0</v>
      </c>
      <c r="R71" s="46"/>
    </row>
    <row r="72" spans="1:18" s="17" customFormat="1" ht="27.75" customHeight="1" x14ac:dyDescent="0.3">
      <c r="A72" s="202"/>
      <c r="B72" s="203"/>
      <c r="C72" s="209"/>
      <c r="D72" s="20" t="s">
        <v>6</v>
      </c>
      <c r="E72" s="54">
        <f t="shared" ref="E72:E77" si="15">SUM(F72:Q72)</f>
        <v>0</v>
      </c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46"/>
    </row>
    <row r="73" spans="1:18" s="17" customFormat="1" ht="39" customHeight="1" x14ac:dyDescent="0.3">
      <c r="A73" s="202"/>
      <c r="B73" s="203"/>
      <c r="C73" s="209"/>
      <c r="D73" s="20" t="s">
        <v>7</v>
      </c>
      <c r="E73" s="54">
        <f t="shared" si="15"/>
        <v>0</v>
      </c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46"/>
    </row>
    <row r="74" spans="1:18" s="17" customFormat="1" ht="27.75" customHeight="1" x14ac:dyDescent="0.3">
      <c r="A74" s="202"/>
      <c r="B74" s="203"/>
      <c r="C74" s="209"/>
      <c r="D74" s="20" t="s">
        <v>1</v>
      </c>
      <c r="E74" s="54">
        <f t="shared" si="15"/>
        <v>0</v>
      </c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46"/>
    </row>
    <row r="75" spans="1:18" s="17" customFormat="1" ht="59.25" customHeight="1" x14ac:dyDescent="0.3">
      <c r="A75" s="202"/>
      <c r="B75" s="203"/>
      <c r="C75" s="209"/>
      <c r="D75" s="20" t="s">
        <v>2</v>
      </c>
      <c r="E75" s="54">
        <f t="shared" si="15"/>
        <v>0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46"/>
    </row>
    <row r="76" spans="1:18" s="17" customFormat="1" ht="31.5" customHeight="1" x14ac:dyDescent="0.3">
      <c r="A76" s="202"/>
      <c r="B76" s="203"/>
      <c r="C76" s="209"/>
      <c r="D76" s="18" t="s">
        <v>36</v>
      </c>
      <c r="E76" s="54">
        <f t="shared" si="15"/>
        <v>0</v>
      </c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46"/>
    </row>
    <row r="77" spans="1:18" s="17" customFormat="1" ht="27.75" customHeight="1" x14ac:dyDescent="0.3">
      <c r="A77" s="202"/>
      <c r="B77" s="203"/>
      <c r="C77" s="209"/>
      <c r="D77" s="20" t="s">
        <v>4</v>
      </c>
      <c r="E77" s="54">
        <f t="shared" si="15"/>
        <v>0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46"/>
    </row>
    <row r="78" spans="1:18" s="39" customFormat="1" ht="27.75" customHeight="1" x14ac:dyDescent="0.3">
      <c r="A78" s="210" t="s">
        <v>59</v>
      </c>
      <c r="B78" s="203" t="s">
        <v>60</v>
      </c>
      <c r="C78" s="205" t="s">
        <v>63</v>
      </c>
      <c r="D78" s="38" t="s">
        <v>0</v>
      </c>
      <c r="E78" s="52">
        <f>SUM(F78:Q78)</f>
        <v>156017.95973</v>
      </c>
      <c r="F78" s="52">
        <f>SUM(F79:F84)</f>
        <v>13956.22313</v>
      </c>
      <c r="G78" s="52">
        <f t="shared" ref="G78:Q78" si="16">SUM(G79:G84)</f>
        <v>12605.081470000001</v>
      </c>
      <c r="H78" s="52">
        <f t="shared" si="16"/>
        <v>10507.494989999999</v>
      </c>
      <c r="I78" s="52">
        <f t="shared" si="16"/>
        <v>11857.438099999999</v>
      </c>
      <c r="J78" s="52">
        <f t="shared" si="16"/>
        <v>10908.15243</v>
      </c>
      <c r="K78" s="52">
        <f t="shared" si="16"/>
        <v>16293.35252</v>
      </c>
      <c r="L78" s="52">
        <f t="shared" si="16"/>
        <v>19791.089010000003</v>
      </c>
      <c r="M78" s="52">
        <f t="shared" si="16"/>
        <v>11457.93354</v>
      </c>
      <c r="N78" s="52">
        <f>SUM(N79:N84)</f>
        <v>10828.433440000001</v>
      </c>
      <c r="O78" s="52">
        <f>SUM(O79:O84)</f>
        <v>11061.18858</v>
      </c>
      <c r="P78" s="52">
        <f t="shared" si="16"/>
        <v>10524.44665</v>
      </c>
      <c r="Q78" s="52">
        <f t="shared" si="16"/>
        <v>16227.12587</v>
      </c>
      <c r="R78" s="45">
        <f>R80+R81+R84</f>
        <v>102525.7</v>
      </c>
    </row>
    <row r="79" spans="1:18" s="39" customFormat="1" ht="27" customHeight="1" x14ac:dyDescent="0.3">
      <c r="A79" s="210"/>
      <c r="B79" s="203"/>
      <c r="C79" s="205"/>
      <c r="D79" s="40" t="s">
        <v>6</v>
      </c>
      <c r="E79" s="57">
        <f t="shared" ref="E79:E81" si="17">SUM(F79:Q79)</f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46"/>
    </row>
    <row r="80" spans="1:18" s="39" customFormat="1" ht="40.5" customHeight="1" x14ac:dyDescent="0.3">
      <c r="A80" s="210"/>
      <c r="B80" s="203"/>
      <c r="C80" s="205"/>
      <c r="D80" s="40" t="s">
        <v>7</v>
      </c>
      <c r="E80" s="57">
        <f>G80+H80+I80+J80+K80+L80+M80+N80+O80+P80+Q80+F80</f>
        <v>95128.79873000001</v>
      </c>
      <c r="F80" s="56">
        <v>0</v>
      </c>
      <c r="G80" s="56">
        <f>5306.784+5799.06263</f>
        <v>11105.84663</v>
      </c>
      <c r="H80" s="56">
        <f>7282.09977-5799.06263+4204.44873</f>
        <v>5687.4858699999995</v>
      </c>
      <c r="I80" s="56">
        <f>7327.39977-4204.45</f>
        <v>3122.9497700000002</v>
      </c>
      <c r="J80" s="56">
        <v>8681.6103000000003</v>
      </c>
      <c r="K80" s="56">
        <v>10113.476350000001</v>
      </c>
      <c r="L80" s="56">
        <f>10622.39048+7000</f>
        <v>17622.390480000002</v>
      </c>
      <c r="M80" s="56">
        <f>11482.79048-3000</f>
        <v>8482.7904799999997</v>
      </c>
      <c r="N80" s="56">
        <f>9197.28548-2000</f>
        <v>7197.2854800000005</v>
      </c>
      <c r="O80" s="56">
        <v>7584.0997699999998</v>
      </c>
      <c r="P80" s="56">
        <v>7327.39977</v>
      </c>
      <c r="Q80" s="55">
        <f>10203.46385-0.00002-2000</f>
        <v>8203.4638300000006</v>
      </c>
      <c r="R80" s="47">
        <f>37070.2+16193.8</f>
        <v>53264</v>
      </c>
    </row>
    <row r="81" spans="1:19" s="39" customFormat="1" ht="36" customHeight="1" x14ac:dyDescent="0.3">
      <c r="A81" s="210"/>
      <c r="B81" s="203"/>
      <c r="C81" s="205"/>
      <c r="D81" s="40" t="s">
        <v>1</v>
      </c>
      <c r="E81" s="57">
        <f t="shared" si="17"/>
        <v>60889.161000000007</v>
      </c>
      <c r="F81" s="55">
        <v>13956.22313</v>
      </c>
      <c r="G81" s="55">
        <f>5292.63046-3793.39562</f>
        <v>1499.2348400000005</v>
      </c>
      <c r="H81" s="55">
        <f>3557.5625+3793.39562-2530.949</f>
        <v>4820.0091199999988</v>
      </c>
      <c r="I81" s="55">
        <f>6203.54333+2530.945</f>
        <v>8734.4883300000001</v>
      </c>
      <c r="J81" s="55">
        <f>2230.06657+1761.61656-1765.141</f>
        <v>2226.5421299999998</v>
      </c>
      <c r="K81" s="55">
        <v>6179.8761699999995</v>
      </c>
      <c r="L81" s="55">
        <v>2168.6985300000001</v>
      </c>
      <c r="M81" s="55">
        <f>2975.14306</f>
        <v>2975.1430599999999</v>
      </c>
      <c r="N81" s="70">
        <f>4931.76452-1300.61656</f>
        <v>3631.1479599999998</v>
      </c>
      <c r="O81" s="70">
        <v>3477.0888100000002</v>
      </c>
      <c r="P81" s="70">
        <v>3197.0468799999999</v>
      </c>
      <c r="Q81" s="70">
        <f>8484.66204-461</f>
        <v>8023.6620399999993</v>
      </c>
      <c r="R81" s="47">
        <v>49261.7</v>
      </c>
    </row>
    <row r="82" spans="1:19" s="39" customFormat="1" ht="63.75" customHeight="1" x14ac:dyDescent="0.3">
      <c r="A82" s="210"/>
      <c r="B82" s="203"/>
      <c r="C82" s="205"/>
      <c r="D82" s="40" t="s">
        <v>2</v>
      </c>
      <c r="E82" s="57">
        <v>0</v>
      </c>
      <c r="F82" s="55"/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70">
        <v>0</v>
      </c>
      <c r="Q82" s="70">
        <v>0</v>
      </c>
      <c r="R82" s="47"/>
    </row>
    <row r="83" spans="1:19" s="39" customFormat="1" ht="24.75" customHeight="1" x14ac:dyDescent="0.3">
      <c r="A83" s="210"/>
      <c r="B83" s="203"/>
      <c r="C83" s="205"/>
      <c r="D83" s="40" t="s">
        <v>36</v>
      </c>
      <c r="E83" s="57">
        <v>0</v>
      </c>
      <c r="F83" s="55">
        <v>0</v>
      </c>
      <c r="G83" s="70">
        <v>0</v>
      </c>
      <c r="H83" s="70"/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70">
        <v>0</v>
      </c>
      <c r="P83" s="70">
        <v>0</v>
      </c>
      <c r="Q83" s="70">
        <v>0</v>
      </c>
      <c r="R83" s="47"/>
    </row>
    <row r="84" spans="1:19" s="39" customFormat="1" ht="30" customHeight="1" x14ac:dyDescent="0.3">
      <c r="A84" s="210"/>
      <c r="B84" s="203"/>
      <c r="C84" s="205"/>
      <c r="D84" s="40" t="s">
        <v>4</v>
      </c>
      <c r="E84" s="57">
        <f>G84+H84+I84+J84+K84+L84+M84+N84+O84+P84+Q84</f>
        <v>0</v>
      </c>
      <c r="F84" s="55">
        <v>0</v>
      </c>
      <c r="G84" s="70">
        <v>0</v>
      </c>
      <c r="H84" s="70"/>
      <c r="I84" s="70">
        <v>0</v>
      </c>
      <c r="J84" s="70">
        <v>0</v>
      </c>
      <c r="K84" s="69">
        <v>0</v>
      </c>
      <c r="L84" s="70"/>
      <c r="M84" s="70"/>
      <c r="N84" s="70">
        <v>0</v>
      </c>
      <c r="O84" s="70">
        <v>0</v>
      </c>
      <c r="P84" s="70"/>
      <c r="Q84" s="70">
        <f>778.09401-778.09401</f>
        <v>0</v>
      </c>
      <c r="R84" s="47"/>
    </row>
    <row r="85" spans="1:19" s="21" customFormat="1" ht="30" customHeight="1" x14ac:dyDescent="0.3">
      <c r="A85" s="211" t="s">
        <v>3</v>
      </c>
      <c r="B85" s="211"/>
      <c r="C85" s="212"/>
      <c r="D85" s="67" t="s">
        <v>0</v>
      </c>
      <c r="E85" s="54">
        <f>SUM(F85:Q85)</f>
        <v>611435.92920999997</v>
      </c>
      <c r="F85" s="54">
        <f>SUM(F86:F91)</f>
        <v>27980.503805</v>
      </c>
      <c r="G85" s="54">
        <f t="shared" ref="G85:Q85" si="18">SUM(G86:G91)</f>
        <v>63887.698449999996</v>
      </c>
      <c r="H85" s="54">
        <f t="shared" si="18"/>
        <v>50634.693599999991</v>
      </c>
      <c r="I85" s="54">
        <f t="shared" si="18"/>
        <v>51740.532460000002</v>
      </c>
      <c r="J85" s="54">
        <f t="shared" si="18"/>
        <v>52557.171770000001</v>
      </c>
      <c r="K85" s="54">
        <f t="shared" si="18"/>
        <v>54755.048760000005</v>
      </c>
      <c r="L85" s="54">
        <f t="shared" si="18"/>
        <v>60319.077475000006</v>
      </c>
      <c r="M85" s="54">
        <f t="shared" si="18"/>
        <v>45258.558779999999</v>
      </c>
      <c r="N85" s="54">
        <f t="shared" si="18"/>
        <v>45991.247115000006</v>
      </c>
      <c r="O85" s="54">
        <f t="shared" si="18"/>
        <v>43989.482919999995</v>
      </c>
      <c r="P85" s="80">
        <f t="shared" si="18"/>
        <v>39503.124810000001</v>
      </c>
      <c r="Q85" s="80">
        <f t="shared" si="18"/>
        <v>74818.789264999985</v>
      </c>
      <c r="R85" s="53"/>
    </row>
    <row r="86" spans="1:19" s="21" customFormat="1" ht="36" customHeight="1" x14ac:dyDescent="0.3">
      <c r="A86" s="211"/>
      <c r="B86" s="211"/>
      <c r="C86" s="212"/>
      <c r="D86" s="67" t="s">
        <v>6</v>
      </c>
      <c r="E86" s="54">
        <f>SUM(F86:Q86)</f>
        <v>5128.2</v>
      </c>
      <c r="F86" s="88">
        <f t="shared" ref="F86:Q91" si="19">F23+F30+F37+F44+F51+F58+F65+F79</f>
        <v>32.815000000000005</v>
      </c>
      <c r="G86" s="88">
        <f t="shared" si="19"/>
        <v>424.54740000000004</v>
      </c>
      <c r="H86" s="88">
        <f t="shared" si="19"/>
        <v>832.44421</v>
      </c>
      <c r="I86" s="54">
        <f t="shared" si="19"/>
        <v>479.48499999999996</v>
      </c>
      <c r="J86" s="54">
        <f t="shared" si="19"/>
        <v>252.709</v>
      </c>
      <c r="K86" s="54">
        <f t="shared" si="19"/>
        <v>651.44100000000003</v>
      </c>
      <c r="L86" s="54">
        <f t="shared" si="19"/>
        <v>1197.6151500000001</v>
      </c>
      <c r="M86" s="54">
        <f t="shared" si="19"/>
        <v>629.71699999999998</v>
      </c>
      <c r="N86" s="54">
        <f t="shared" si="19"/>
        <v>252.76900000000001</v>
      </c>
      <c r="O86" s="54">
        <f t="shared" si="19"/>
        <v>32.075000000000003</v>
      </c>
      <c r="P86" s="80">
        <f t="shared" si="19"/>
        <v>307.46925000000005</v>
      </c>
      <c r="Q86" s="80">
        <f t="shared" si="19"/>
        <v>35.112990000000003</v>
      </c>
      <c r="R86" s="53"/>
    </row>
    <row r="87" spans="1:19" s="21" customFormat="1" ht="43.5" customHeight="1" x14ac:dyDescent="0.3">
      <c r="A87" s="211"/>
      <c r="B87" s="211"/>
      <c r="C87" s="212"/>
      <c r="D87" s="67" t="s">
        <v>7</v>
      </c>
      <c r="E87" s="54">
        <f t="shared" ref="E87:E91" si="20">SUM(F87:Q87)</f>
        <v>96362.29873000001</v>
      </c>
      <c r="F87" s="54">
        <f t="shared" si="19"/>
        <v>9.4307399999999859</v>
      </c>
      <c r="G87" s="54">
        <f t="shared" si="19"/>
        <v>11215.11663</v>
      </c>
      <c r="H87" s="54">
        <f t="shared" si="19"/>
        <v>5807.8148699999992</v>
      </c>
      <c r="I87" s="54">
        <f t="shared" si="19"/>
        <v>3173.1248700000001</v>
      </c>
      <c r="J87" s="54">
        <f t="shared" si="19"/>
        <v>8706.2103000000006</v>
      </c>
      <c r="K87" s="54">
        <f t="shared" si="19"/>
        <v>10149.495350000001</v>
      </c>
      <c r="L87" s="54">
        <f t="shared" si="19"/>
        <v>17888.319480000002</v>
      </c>
      <c r="M87" s="54">
        <f t="shared" si="19"/>
        <v>8482.7904799999997</v>
      </c>
      <c r="N87" s="54">
        <f t="shared" si="19"/>
        <v>7208.7054800000005</v>
      </c>
      <c r="O87" s="54">
        <f t="shared" si="19"/>
        <v>7806.0617700000003</v>
      </c>
      <c r="P87" s="80">
        <f t="shared" si="19"/>
        <v>7662.1159299999999</v>
      </c>
      <c r="Q87" s="80">
        <f t="shared" si="19"/>
        <v>8253.11283</v>
      </c>
      <c r="R87" s="53"/>
      <c r="S87" s="22"/>
    </row>
    <row r="88" spans="1:19" s="21" customFormat="1" ht="28.5" customHeight="1" x14ac:dyDescent="0.3">
      <c r="A88" s="211"/>
      <c r="B88" s="211"/>
      <c r="C88" s="212"/>
      <c r="D88" s="67" t="s">
        <v>1</v>
      </c>
      <c r="E88" s="54">
        <f t="shared" si="20"/>
        <v>505956.45647999999</v>
      </c>
      <c r="F88" s="54">
        <f t="shared" si="19"/>
        <v>27938.258065000002</v>
      </c>
      <c r="G88" s="54">
        <f t="shared" si="19"/>
        <v>52248.034419999996</v>
      </c>
      <c r="H88" s="54">
        <f t="shared" si="19"/>
        <v>43994.434519999995</v>
      </c>
      <c r="I88" s="54">
        <f t="shared" si="19"/>
        <v>48087.922590000002</v>
      </c>
      <c r="J88" s="54">
        <f t="shared" si="19"/>
        <v>43598.252469999999</v>
      </c>
      <c r="K88" s="54">
        <f t="shared" si="19"/>
        <v>43954.112410000002</v>
      </c>
      <c r="L88" s="54">
        <f t="shared" si="19"/>
        <v>41233.142845000002</v>
      </c>
      <c r="M88" s="54">
        <f t="shared" si="19"/>
        <v>36146.051299999999</v>
      </c>
      <c r="N88" s="54">
        <f t="shared" si="19"/>
        <v>38529.772635000001</v>
      </c>
      <c r="O88" s="54">
        <f t="shared" si="19"/>
        <v>36151.346149999998</v>
      </c>
      <c r="P88" s="80">
        <f t="shared" si="19"/>
        <v>31533.539629999999</v>
      </c>
      <c r="Q88" s="80">
        <f t="shared" si="19"/>
        <v>62541.589444999991</v>
      </c>
      <c r="R88" s="53"/>
    </row>
    <row r="89" spans="1:19" s="21" customFormat="1" ht="52.5" customHeight="1" x14ac:dyDescent="0.3">
      <c r="A89" s="211"/>
      <c r="B89" s="211"/>
      <c r="C89" s="212"/>
      <c r="D89" s="67" t="s">
        <v>2</v>
      </c>
      <c r="E89" s="54">
        <f t="shared" si="20"/>
        <v>0</v>
      </c>
      <c r="F89" s="54">
        <f t="shared" si="19"/>
        <v>0</v>
      </c>
      <c r="G89" s="54">
        <f t="shared" si="19"/>
        <v>0</v>
      </c>
      <c r="H89" s="54">
        <f t="shared" si="19"/>
        <v>0</v>
      </c>
      <c r="I89" s="54">
        <f t="shared" si="19"/>
        <v>0</v>
      </c>
      <c r="J89" s="54">
        <f t="shared" si="19"/>
        <v>0</v>
      </c>
      <c r="K89" s="54">
        <f t="shared" si="19"/>
        <v>0</v>
      </c>
      <c r="L89" s="54">
        <f t="shared" si="19"/>
        <v>0</v>
      </c>
      <c r="M89" s="54">
        <f t="shared" si="19"/>
        <v>0</v>
      </c>
      <c r="N89" s="54">
        <f t="shared" si="19"/>
        <v>0</v>
      </c>
      <c r="O89" s="54">
        <f t="shared" si="19"/>
        <v>0</v>
      </c>
      <c r="P89" s="80">
        <f t="shared" si="19"/>
        <v>0</v>
      </c>
      <c r="Q89" s="80">
        <f t="shared" si="19"/>
        <v>0</v>
      </c>
      <c r="R89" s="53"/>
    </row>
    <row r="90" spans="1:19" s="17" customFormat="1" ht="33.75" customHeight="1" x14ac:dyDescent="0.3">
      <c r="A90" s="211"/>
      <c r="B90" s="211"/>
      <c r="C90" s="212"/>
      <c r="D90" s="67" t="s">
        <v>36</v>
      </c>
      <c r="E90" s="54">
        <f t="shared" si="20"/>
        <v>0</v>
      </c>
      <c r="F90" s="54">
        <f t="shared" si="19"/>
        <v>0</v>
      </c>
      <c r="G90" s="54">
        <f t="shared" si="19"/>
        <v>0</v>
      </c>
      <c r="H90" s="54">
        <f t="shared" si="19"/>
        <v>0</v>
      </c>
      <c r="I90" s="54">
        <f t="shared" si="19"/>
        <v>0</v>
      </c>
      <c r="J90" s="54">
        <f t="shared" si="19"/>
        <v>0</v>
      </c>
      <c r="K90" s="54">
        <f t="shared" si="19"/>
        <v>0</v>
      </c>
      <c r="L90" s="54">
        <f t="shared" si="19"/>
        <v>0</v>
      </c>
      <c r="M90" s="54">
        <f t="shared" si="19"/>
        <v>0</v>
      </c>
      <c r="N90" s="54">
        <f t="shared" si="19"/>
        <v>0</v>
      </c>
      <c r="O90" s="54">
        <f t="shared" si="19"/>
        <v>0</v>
      </c>
      <c r="P90" s="54">
        <f t="shared" si="19"/>
        <v>0</v>
      </c>
      <c r="Q90" s="54">
        <f t="shared" si="19"/>
        <v>0</v>
      </c>
      <c r="R90" s="53"/>
    </row>
    <row r="91" spans="1:19" s="21" customFormat="1" ht="30" customHeight="1" x14ac:dyDescent="0.3">
      <c r="A91" s="211"/>
      <c r="B91" s="211"/>
      <c r="C91" s="212"/>
      <c r="D91" s="67" t="s">
        <v>4</v>
      </c>
      <c r="E91" s="54">
        <f t="shared" si="20"/>
        <v>3988.9740000000002</v>
      </c>
      <c r="F91" s="54">
        <f t="shared" si="19"/>
        <v>0</v>
      </c>
      <c r="G91" s="54">
        <f t="shared" si="19"/>
        <v>0</v>
      </c>
      <c r="H91" s="54">
        <f t="shared" si="19"/>
        <v>0</v>
      </c>
      <c r="I91" s="54">
        <f t="shared" si="19"/>
        <v>0</v>
      </c>
      <c r="J91" s="54">
        <f t="shared" si="19"/>
        <v>0</v>
      </c>
      <c r="K91" s="54">
        <f t="shared" si="19"/>
        <v>0</v>
      </c>
      <c r="L91" s="54">
        <f t="shared" si="19"/>
        <v>0</v>
      </c>
      <c r="M91" s="54">
        <f t="shared" si="19"/>
        <v>0</v>
      </c>
      <c r="N91" s="54">
        <f t="shared" si="19"/>
        <v>0</v>
      </c>
      <c r="O91" s="54">
        <f t="shared" si="19"/>
        <v>0</v>
      </c>
      <c r="P91" s="54">
        <f t="shared" si="19"/>
        <v>0</v>
      </c>
      <c r="Q91" s="54">
        <f t="shared" si="19"/>
        <v>3988.9740000000002</v>
      </c>
      <c r="R91" s="53"/>
    </row>
    <row r="92" spans="1:19" s="21" customFormat="1" ht="30.75" hidden="1" customHeight="1" x14ac:dyDescent="0.3">
      <c r="A92" s="58"/>
      <c r="B92" s="58"/>
      <c r="C92" s="59"/>
      <c r="D92" s="60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</row>
    <row r="93" spans="1:19" s="63" customFormat="1" ht="45" customHeight="1" x14ac:dyDescent="0.4">
      <c r="B93" s="68"/>
      <c r="C93" s="64"/>
      <c r="N93" s="66"/>
      <c r="R93" s="65"/>
    </row>
    <row r="94" spans="1:19" s="35" customFormat="1" ht="48.75" customHeight="1" x14ac:dyDescent="0.4">
      <c r="B94" s="36" t="s">
        <v>49</v>
      </c>
      <c r="C94" s="36"/>
      <c r="F94" s="35" t="s">
        <v>50</v>
      </c>
      <c r="R94" s="37"/>
    </row>
    <row r="95" spans="1:19" s="35" customFormat="1" ht="57.75" customHeight="1" x14ac:dyDescent="0.4">
      <c r="B95" s="36"/>
      <c r="C95" s="36"/>
      <c r="R95" s="37"/>
    </row>
    <row r="96" spans="1:19" s="35" customFormat="1" ht="30" customHeight="1" x14ac:dyDescent="0.4">
      <c r="B96" s="36" t="s">
        <v>66</v>
      </c>
      <c r="C96" s="36"/>
      <c r="R96" s="37"/>
    </row>
    <row r="97" spans="2:18" s="35" customFormat="1" ht="26.25" x14ac:dyDescent="0.4">
      <c r="B97" s="36" t="s">
        <v>67</v>
      </c>
      <c r="C97" s="36"/>
      <c r="R97" s="37"/>
    </row>
    <row r="100" spans="2:18" x14ac:dyDescent="0.3"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</row>
    <row r="102" spans="2:18" x14ac:dyDescent="0.3">
      <c r="F102" s="71"/>
      <c r="G102" s="71"/>
      <c r="H102" s="71"/>
    </row>
    <row r="103" spans="2:18" x14ac:dyDescent="0.3">
      <c r="E103" s="81"/>
    </row>
    <row r="104" spans="2:18" x14ac:dyDescent="0.3">
      <c r="F104" s="72"/>
    </row>
  </sheetData>
  <mergeCells count="52">
    <mergeCell ref="N12:Q12"/>
    <mergeCell ref="N1:Q1"/>
    <mergeCell ref="N2:Q2"/>
    <mergeCell ref="N3:Q3"/>
    <mergeCell ref="N4:Q4"/>
    <mergeCell ref="N5:Q5"/>
    <mergeCell ref="N6:Q6"/>
    <mergeCell ref="N7:Q7"/>
    <mergeCell ref="N8:Q8"/>
    <mergeCell ref="N9:Q9"/>
    <mergeCell ref="N10:Q10"/>
    <mergeCell ref="N11:Q11"/>
    <mergeCell ref="N13:Q13"/>
    <mergeCell ref="N14:Q14"/>
    <mergeCell ref="A16:Q16"/>
    <mergeCell ref="A17:Q17"/>
    <mergeCell ref="P18:Q18"/>
    <mergeCell ref="F19:Q19"/>
    <mergeCell ref="A22:A28"/>
    <mergeCell ref="B22:B28"/>
    <mergeCell ref="C22:C28"/>
    <mergeCell ref="A29:A35"/>
    <mergeCell ref="B29:B35"/>
    <mergeCell ref="C29:C35"/>
    <mergeCell ref="A19:A20"/>
    <mergeCell ref="B19:B20"/>
    <mergeCell ref="C19:C20"/>
    <mergeCell ref="D19:D20"/>
    <mergeCell ref="E19:E20"/>
    <mergeCell ref="A36:A42"/>
    <mergeCell ref="B36:B42"/>
    <mergeCell ref="C36:C42"/>
    <mergeCell ref="A43:A49"/>
    <mergeCell ref="B43:B49"/>
    <mergeCell ref="C43:C49"/>
    <mergeCell ref="A50:A56"/>
    <mergeCell ref="B50:B56"/>
    <mergeCell ref="C50:C56"/>
    <mergeCell ref="A57:A63"/>
    <mergeCell ref="B57:B63"/>
    <mergeCell ref="C57:C63"/>
    <mergeCell ref="A64:A70"/>
    <mergeCell ref="B64:B70"/>
    <mergeCell ref="C64:C70"/>
    <mergeCell ref="A71:A77"/>
    <mergeCell ref="B71:B77"/>
    <mergeCell ref="C71:C77"/>
    <mergeCell ref="A78:A84"/>
    <mergeCell ref="B78:B84"/>
    <mergeCell ref="C78:C84"/>
    <mergeCell ref="A85:B91"/>
    <mergeCell ref="C85:C91"/>
  </mergeCells>
  <pageMargins left="0.19685039370078741" right="0.27559055118110237" top="0.15748031496062992" bottom="0.15748031496062992" header="0.15748031496062992" footer="0.15748031496062992"/>
  <pageSetup paperSize="9" scale="35" fitToHeight="5" orientation="landscape" r:id="rId1"/>
  <rowBreaks count="1" manualBreakCount="1">
    <brk id="49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98"/>
  <sheetViews>
    <sheetView tabSelected="1" view="pageBreakPreview" zoomScale="55" zoomScaleNormal="57" zoomScaleSheetLayoutView="55" workbookViewId="0">
      <pane xSplit="3" ySplit="10" topLeftCell="D134" activePane="bottomRight" state="frozen"/>
      <selection pane="topRight" activeCell="D1" sqref="D1"/>
      <selection pane="bottomLeft" activeCell="A11" sqref="A11"/>
      <selection pane="bottomRight" activeCell="B151" sqref="B151:B157"/>
    </sheetView>
  </sheetViews>
  <sheetFormatPr defaultColWidth="9.140625" defaultRowHeight="26.25" x14ac:dyDescent="0.4"/>
  <cols>
    <col min="1" max="1" width="6.5703125" style="2" customWidth="1"/>
    <col min="2" max="2" width="59.7109375" style="33" customWidth="1"/>
    <col min="3" max="3" width="34.42578125" style="114" customWidth="1"/>
    <col min="4" max="4" width="31" style="120" customWidth="1"/>
    <col min="5" max="5" width="30" style="2" customWidth="1"/>
    <col min="6" max="6" width="31.7109375" style="2" customWidth="1"/>
    <col min="7" max="7" width="28" style="2" customWidth="1"/>
    <col min="8" max="8" width="27.7109375" style="2" customWidth="1"/>
    <col min="9" max="10" width="26.7109375" style="2" customWidth="1"/>
    <col min="11" max="12" width="27.28515625" style="2" customWidth="1"/>
    <col min="13" max="14" width="26.7109375" style="2" customWidth="1"/>
    <col min="15" max="15" width="25.85546875" style="2" customWidth="1"/>
    <col min="16" max="16" width="29" style="2" customWidth="1"/>
    <col min="17" max="17" width="25.85546875" style="2" customWidth="1"/>
    <col min="18" max="18" width="37.5703125" style="169" customWidth="1"/>
    <col min="19" max="19" width="25.5703125" style="2" customWidth="1"/>
    <col min="20" max="16384" width="9.140625" style="2"/>
  </cols>
  <sheetData>
    <row r="1" spans="1:19" ht="30.75" customHeight="1" x14ac:dyDescent="0.4">
      <c r="A1" s="1"/>
      <c r="B1" s="12"/>
      <c r="I1" s="1"/>
      <c r="J1" s="1"/>
      <c r="K1" s="1"/>
      <c r="L1" s="1"/>
      <c r="M1" s="6"/>
      <c r="N1" s="256" t="s">
        <v>31</v>
      </c>
      <c r="O1" s="256"/>
      <c r="P1" s="256"/>
      <c r="Q1" s="256"/>
    </row>
    <row r="2" spans="1:19" ht="30" customHeight="1" x14ac:dyDescent="0.4">
      <c r="A2" s="1"/>
      <c r="B2" s="12"/>
      <c r="I2" s="1"/>
      <c r="J2" s="1"/>
      <c r="K2" s="1"/>
      <c r="L2" s="1"/>
      <c r="M2" s="6"/>
      <c r="N2" s="257" t="s">
        <v>48</v>
      </c>
      <c r="O2" s="257"/>
      <c r="P2" s="257"/>
      <c r="Q2" s="257"/>
    </row>
    <row r="3" spans="1:19" ht="33" customHeight="1" x14ac:dyDescent="0.4">
      <c r="A3" s="1"/>
      <c r="B3" s="12"/>
      <c r="I3" s="1"/>
      <c r="J3" s="1"/>
      <c r="K3" s="1"/>
      <c r="L3" s="1"/>
      <c r="M3" s="6"/>
      <c r="N3" s="258" t="s">
        <v>116</v>
      </c>
      <c r="O3" s="258"/>
      <c r="P3" s="258"/>
      <c r="Q3" s="258"/>
    </row>
    <row r="4" spans="1:19" ht="33" customHeight="1" x14ac:dyDescent="0.4">
      <c r="A4" s="1"/>
      <c r="B4" s="12"/>
      <c r="I4" s="1"/>
      <c r="J4" s="1"/>
      <c r="K4" s="1"/>
      <c r="L4" s="1"/>
      <c r="M4" s="6"/>
      <c r="N4" s="259" t="s">
        <v>117</v>
      </c>
      <c r="O4" s="260"/>
      <c r="P4" s="260"/>
      <c r="Q4" s="260"/>
    </row>
    <row r="5" spans="1:19" ht="33" customHeight="1" x14ac:dyDescent="0.4">
      <c r="A5" s="197" t="s">
        <v>34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</row>
    <row r="6" spans="1:19" ht="49.5" customHeight="1" x14ac:dyDescent="0.4">
      <c r="A6" s="198" t="s">
        <v>110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</row>
    <row r="7" spans="1:19" ht="27.75" customHeight="1" x14ac:dyDescent="0.4">
      <c r="A7" s="4"/>
      <c r="B7" s="3"/>
      <c r="C7" s="115"/>
      <c r="D7" s="11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00" t="s">
        <v>35</v>
      </c>
      <c r="Q7" s="200"/>
    </row>
    <row r="8" spans="1:19" s="11" customFormat="1" ht="28.5" customHeight="1" x14ac:dyDescent="0.4">
      <c r="A8" s="206" t="s">
        <v>39</v>
      </c>
      <c r="B8" s="206" t="s">
        <v>38</v>
      </c>
      <c r="C8" s="251" t="s">
        <v>40</v>
      </c>
      <c r="D8" s="251" t="s">
        <v>5</v>
      </c>
      <c r="E8" s="201" t="s">
        <v>18</v>
      </c>
      <c r="F8" s="201" t="s">
        <v>37</v>
      </c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169"/>
    </row>
    <row r="9" spans="1:19" s="11" customFormat="1" ht="97.5" customHeight="1" x14ac:dyDescent="0.4">
      <c r="A9" s="206"/>
      <c r="B9" s="206"/>
      <c r="C9" s="251"/>
      <c r="D9" s="251"/>
      <c r="E9" s="201"/>
      <c r="F9" s="42" t="s">
        <v>19</v>
      </c>
      <c r="G9" s="42" t="s">
        <v>20</v>
      </c>
      <c r="H9" s="42" t="s">
        <v>21</v>
      </c>
      <c r="I9" s="42" t="s">
        <v>22</v>
      </c>
      <c r="J9" s="42" t="s">
        <v>23</v>
      </c>
      <c r="K9" s="91" t="s">
        <v>24</v>
      </c>
      <c r="L9" s="91" t="s">
        <v>25</v>
      </c>
      <c r="M9" s="91" t="s">
        <v>26</v>
      </c>
      <c r="N9" s="91" t="s">
        <v>27</v>
      </c>
      <c r="O9" s="91" t="s">
        <v>28</v>
      </c>
      <c r="P9" s="91" t="s">
        <v>29</v>
      </c>
      <c r="Q9" s="91" t="s">
        <v>30</v>
      </c>
      <c r="R9" s="169"/>
    </row>
    <row r="10" spans="1:19" s="15" customFormat="1" ht="27" thickBot="1" x14ac:dyDescent="0.45">
      <c r="A10" s="13">
        <v>1</v>
      </c>
      <c r="B10" s="13">
        <v>2</v>
      </c>
      <c r="C10" s="116">
        <v>3</v>
      </c>
      <c r="D10" s="116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70"/>
    </row>
    <row r="11" spans="1:19" s="17" customFormat="1" ht="54" customHeight="1" x14ac:dyDescent="0.35">
      <c r="A11" s="218">
        <v>1</v>
      </c>
      <c r="B11" s="253" t="s">
        <v>111</v>
      </c>
      <c r="C11" s="261" t="s">
        <v>107</v>
      </c>
      <c r="D11" s="105" t="s">
        <v>0</v>
      </c>
      <c r="E11" s="106">
        <f>SUM(F11:Q11)</f>
        <v>272678.98553999997</v>
      </c>
      <c r="F11" s="106">
        <f>F12+F13+F14+F15+F17</f>
        <v>24055.049060000001</v>
      </c>
      <c r="G11" s="106">
        <f t="shared" ref="G11:Q11" si="0">G12+G13+G14+G15+G17</f>
        <v>21992.735919999999</v>
      </c>
      <c r="H11" s="106">
        <f t="shared" si="0"/>
        <v>18897.721379999999</v>
      </c>
      <c r="I11" s="106">
        <f t="shared" si="0"/>
        <v>22490.063029999998</v>
      </c>
      <c r="J11" s="106">
        <f t="shared" si="0"/>
        <v>17359.475990000003</v>
      </c>
      <c r="K11" s="106">
        <f t="shared" si="0"/>
        <v>21221.351320000002</v>
      </c>
      <c r="L11" s="106">
        <f t="shared" si="0"/>
        <v>28310.326110000002</v>
      </c>
      <c r="M11" s="106">
        <f t="shared" si="0"/>
        <v>16491.231400000001</v>
      </c>
      <c r="N11" s="106">
        <f t="shared" si="0"/>
        <v>10381.043270000002</v>
      </c>
      <c r="O11" s="106">
        <f t="shared" si="0"/>
        <v>18158.380379999999</v>
      </c>
      <c r="P11" s="106">
        <f t="shared" si="0"/>
        <v>11458.794260000001</v>
      </c>
      <c r="Q11" s="143">
        <f t="shared" si="0"/>
        <v>61862.813419999999</v>
      </c>
      <c r="R11" s="222"/>
      <c r="S11" s="223"/>
    </row>
    <row r="12" spans="1:19" s="17" customFormat="1" ht="63.75" customHeight="1" x14ac:dyDescent="0.4">
      <c r="A12" s="219"/>
      <c r="B12" s="254"/>
      <c r="C12" s="261"/>
      <c r="D12" s="40" t="s">
        <v>6</v>
      </c>
      <c r="E12" s="108">
        <f>SUM(F12:Q12)</f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44">
        <v>0</v>
      </c>
      <c r="R12" s="165"/>
      <c r="S12" s="156"/>
    </row>
    <row r="13" spans="1:19" s="17" customFormat="1" ht="68.25" customHeight="1" x14ac:dyDescent="0.4">
      <c r="A13" s="219"/>
      <c r="B13" s="254"/>
      <c r="C13" s="261"/>
      <c r="D13" s="40" t="s">
        <v>7</v>
      </c>
      <c r="E13" s="108">
        <f t="shared" ref="E13:E17" si="1">SUM(F13:Q13)</f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1">
        <v>0</v>
      </c>
      <c r="Q13" s="145">
        <v>0</v>
      </c>
      <c r="R13" s="165"/>
      <c r="S13" s="157"/>
    </row>
    <row r="14" spans="1:19" s="17" customFormat="1" ht="66" customHeight="1" x14ac:dyDescent="0.4">
      <c r="A14" s="219"/>
      <c r="B14" s="254"/>
      <c r="C14" s="261"/>
      <c r="D14" s="40" t="s">
        <v>1</v>
      </c>
      <c r="E14" s="108">
        <f t="shared" si="1"/>
        <v>251403.82131999999</v>
      </c>
      <c r="F14" s="111">
        <f>24029.32718+11.72188+14</f>
        <v>24055.049060000001</v>
      </c>
      <c r="G14" s="111">
        <f>21766.74092+110.495+115.5</f>
        <v>21992.735919999999</v>
      </c>
      <c r="H14" s="111">
        <f>18819.47838+57.243+21</f>
        <v>18897.721379999999</v>
      </c>
      <c r="I14" s="111">
        <f>21311.25533+11.72188+80.885+38.5+1047.70082</f>
        <v>22490.063029999998</v>
      </c>
      <c r="J14" s="111">
        <f>17029.30439+120+210.1716</f>
        <v>17359.475990000003</v>
      </c>
      <c r="K14" s="111">
        <f>20504.23266+194+47.573+60+415.54566</f>
        <v>21221.351320000002</v>
      </c>
      <c r="L14" s="111">
        <f>27464.57987+11.72188+119.612+84+630.41236</f>
        <v>28310.326110000002</v>
      </c>
      <c r="M14" s="111">
        <f>15947.28114+273+270.95026</f>
        <v>16491.231400000001</v>
      </c>
      <c r="N14" s="111">
        <f>10060.23557+43.573+28+249.2347</f>
        <v>10381.043270000002</v>
      </c>
      <c r="O14" s="111">
        <f>17519.78778+11.7219+39.573+146.5+440.7977</f>
        <v>18158.380379999999</v>
      </c>
      <c r="P14" s="111">
        <f>10972.74379+28+458.05047</f>
        <v>11458.794260000001</v>
      </c>
      <c r="Q14" s="145">
        <f>40063.25542+71.5+452.89378</f>
        <v>40587.6492</v>
      </c>
      <c r="R14" s="165">
        <v>247228.06396999999</v>
      </c>
      <c r="S14" s="167">
        <f>R14-E14</f>
        <v>-4175.7573499999999</v>
      </c>
    </row>
    <row r="15" spans="1:19" s="17" customFormat="1" ht="42" customHeight="1" x14ac:dyDescent="0.4">
      <c r="A15" s="219"/>
      <c r="B15" s="254"/>
      <c r="C15" s="261"/>
      <c r="D15" s="40" t="s">
        <v>2</v>
      </c>
      <c r="E15" s="108">
        <f t="shared" si="1"/>
        <v>0</v>
      </c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44"/>
      <c r="R15" s="166"/>
      <c r="S15" s="157"/>
    </row>
    <row r="16" spans="1:19" s="17" customFormat="1" ht="42.75" customHeight="1" thickBot="1" x14ac:dyDescent="0.45">
      <c r="A16" s="219"/>
      <c r="B16" s="254"/>
      <c r="C16" s="261"/>
      <c r="D16" s="134" t="s">
        <v>72</v>
      </c>
      <c r="E16" s="108">
        <f t="shared" si="1"/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  <c r="Q16" s="145">
        <v>0</v>
      </c>
      <c r="R16" s="171"/>
      <c r="S16" s="158"/>
    </row>
    <row r="17" spans="1:19" s="17" customFormat="1" ht="54.75" customHeight="1" thickBot="1" x14ac:dyDescent="0.45">
      <c r="A17" s="219"/>
      <c r="B17" s="254"/>
      <c r="C17" s="261"/>
      <c r="D17" s="40" t="s">
        <v>4</v>
      </c>
      <c r="E17" s="163">
        <f t="shared" si="1"/>
        <v>21275.164219999999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/>
      <c r="O17" s="111"/>
      <c r="P17" s="111"/>
      <c r="Q17" s="111">
        <v>21275.164219999999</v>
      </c>
      <c r="R17" s="188" t="s">
        <v>115</v>
      </c>
    </row>
    <row r="18" spans="1:19" s="17" customFormat="1" ht="56.25" customHeight="1" x14ac:dyDescent="0.3">
      <c r="A18" s="219"/>
      <c r="B18" s="254"/>
      <c r="C18" s="261" t="s">
        <v>114</v>
      </c>
      <c r="D18" s="105" t="s">
        <v>0</v>
      </c>
      <c r="E18" s="106">
        <f>SUM(F18:Q18)</f>
        <v>221818.77989000001</v>
      </c>
      <c r="F18" s="106">
        <f>F19+F20+F21+F22+F24</f>
        <v>9556.6189699999995</v>
      </c>
      <c r="G18" s="106">
        <f t="shared" ref="G18" si="2">G19+G20+G21+G22+G24</f>
        <v>18309.734830000001</v>
      </c>
      <c r="H18" s="106">
        <f t="shared" ref="H18" si="3">H19+H20+H21+H22+H24</f>
        <v>20083.428739999999</v>
      </c>
      <c r="I18" s="106">
        <f t="shared" ref="I18" si="4">I19+I20+I21+I22+I24</f>
        <v>16054.946940000003</v>
      </c>
      <c r="J18" s="106">
        <f t="shared" ref="J18" si="5">J19+J20+J21+J22+J24</f>
        <v>16405.777770000001</v>
      </c>
      <c r="K18" s="106">
        <f t="shared" ref="K18" si="6">K19+K20+K21+K22+K24</f>
        <v>18078.65192</v>
      </c>
      <c r="L18" s="106">
        <f t="shared" ref="L18" si="7">L19+L20+L21+L22+L24</f>
        <v>18524.337440000003</v>
      </c>
      <c r="M18" s="106">
        <f t="shared" ref="M18" si="8">M19+M20+M21+M22+M24</f>
        <v>13587.704250000001</v>
      </c>
      <c r="N18" s="106">
        <f t="shared" ref="N18" si="9">N19+N20+N21+N22+N24</f>
        <v>12584.980699999998</v>
      </c>
      <c r="O18" s="106">
        <f t="shared" ref="O18" si="10">O19+O20+O21+O22+O24</f>
        <v>13561.739500000001</v>
      </c>
      <c r="P18" s="106">
        <f t="shared" ref="P18" si="11">P19+P20+P21+P22+P24</f>
        <v>9877.9321500000005</v>
      </c>
      <c r="Q18" s="143">
        <f t="shared" ref="Q18" si="12">Q19+Q20+Q21+Q22+Q24</f>
        <v>55192.926679999997</v>
      </c>
      <c r="R18" s="224"/>
      <c r="S18" s="225"/>
    </row>
    <row r="19" spans="1:19" s="17" customFormat="1" ht="59.25" customHeight="1" x14ac:dyDescent="0.4">
      <c r="A19" s="219"/>
      <c r="B19" s="254"/>
      <c r="C19" s="261"/>
      <c r="D19" s="40" t="s">
        <v>6</v>
      </c>
      <c r="E19" s="108">
        <f>SUM(F19:Q19)</f>
        <v>0</v>
      </c>
      <c r="F19" s="110">
        <v>0</v>
      </c>
      <c r="G19" s="110"/>
      <c r="H19" s="110"/>
      <c r="I19" s="110"/>
      <c r="J19" s="110"/>
      <c r="K19" s="111"/>
      <c r="L19" s="111"/>
      <c r="M19" s="111"/>
      <c r="N19" s="111"/>
      <c r="O19" s="111"/>
      <c r="P19" s="111"/>
      <c r="Q19" s="145"/>
      <c r="R19" s="173"/>
      <c r="S19" s="141"/>
    </row>
    <row r="20" spans="1:19" s="17" customFormat="1" ht="63.75" customHeight="1" x14ac:dyDescent="0.4">
      <c r="A20" s="219"/>
      <c r="B20" s="254"/>
      <c r="C20" s="261"/>
      <c r="D20" s="40" t="s">
        <v>7</v>
      </c>
      <c r="E20" s="108">
        <f t="shared" ref="E20:E24" si="13">SUM(F20:Q20)</f>
        <v>0</v>
      </c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44"/>
      <c r="R20" s="174"/>
      <c r="S20" s="146"/>
    </row>
    <row r="21" spans="1:19" s="186" customFormat="1" ht="39.75" customHeight="1" x14ac:dyDescent="0.4">
      <c r="A21" s="219"/>
      <c r="B21" s="254"/>
      <c r="C21" s="261"/>
      <c r="D21" s="187" t="s">
        <v>1</v>
      </c>
      <c r="E21" s="163">
        <f t="shared" si="13"/>
        <v>180654.15708999999</v>
      </c>
      <c r="F21" s="111">
        <f>8740.31037+816.3086</f>
        <v>9556.6189699999995</v>
      </c>
      <c r="G21" s="111">
        <f>6751.41895+10202.1477+1356.16818</f>
        <v>18309.734830000001</v>
      </c>
      <c r="H21" s="111">
        <f>5392.41168+13139.43256+1356.16818+195.41632</f>
        <v>20083.428739999999</v>
      </c>
      <c r="I21" s="110">
        <f>4978.4484+10874.29951+1356.16818+195.41632-1349.38547</f>
        <v>16054.946940000003</v>
      </c>
      <c r="J21" s="110">
        <f>5048.64951+9761.61508+1356.16818+239.345</f>
        <v>16405.777770000001</v>
      </c>
      <c r="K21" s="110">
        <f>6362.41889+9524.24065+1356.16818+835.8242</f>
        <v>18078.65192</v>
      </c>
      <c r="L21" s="110">
        <f>6491.76286+10141.64508+1356.16818+195.41632+339.345</f>
        <v>18524.337440000003</v>
      </c>
      <c r="M21" s="110">
        <f>6261.58041+5730.61066+1356.16818+239.345</f>
        <v>13587.704250000001</v>
      </c>
      <c r="N21" s="110">
        <f>5324.04336+5665.42416+1356.16818+239.345</f>
        <v>12584.980699999998</v>
      </c>
      <c r="O21" s="110">
        <f>5106.23607+6664.57395+1356.16818+195.4163+239.345</f>
        <v>13561.739500000001</v>
      </c>
      <c r="P21" s="110">
        <f>5304.95369+2977.46528+1356.16818+239.345</f>
        <v>9877.9321500000005</v>
      </c>
      <c r="Q21" s="144">
        <f>4521.71649+6833.67383+2712.33626-39.4227</f>
        <v>14028.303879999999</v>
      </c>
      <c r="R21" s="184">
        <v>179671.07105999999</v>
      </c>
      <c r="S21" s="185">
        <f>R21-E21</f>
        <v>-983.08603000000585</v>
      </c>
    </row>
    <row r="22" spans="1:19" s="17" customFormat="1" ht="54" customHeight="1" x14ac:dyDescent="0.4">
      <c r="A22" s="219"/>
      <c r="B22" s="254"/>
      <c r="C22" s="261"/>
      <c r="D22" s="40" t="s">
        <v>2</v>
      </c>
      <c r="E22" s="163">
        <f t="shared" si="13"/>
        <v>0</v>
      </c>
      <c r="F22" s="111">
        <v>0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45"/>
      <c r="R22" s="165"/>
      <c r="S22" s="160"/>
    </row>
    <row r="23" spans="1:19" s="17" customFormat="1" ht="59.25" customHeight="1" x14ac:dyDescent="0.4">
      <c r="A23" s="219"/>
      <c r="B23" s="254"/>
      <c r="C23" s="261"/>
      <c r="D23" s="134" t="s">
        <v>72</v>
      </c>
      <c r="E23" s="163">
        <f t="shared" si="13"/>
        <v>0</v>
      </c>
      <c r="F23" s="111">
        <v>0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45"/>
      <c r="R23" s="166"/>
      <c r="S23" s="160"/>
    </row>
    <row r="24" spans="1:19" s="17" customFormat="1" ht="38.25" customHeight="1" thickBot="1" x14ac:dyDescent="0.45">
      <c r="A24" s="219"/>
      <c r="B24" s="254"/>
      <c r="C24" s="261"/>
      <c r="D24" s="40" t="s">
        <v>4</v>
      </c>
      <c r="E24" s="164">
        <f t="shared" si="13"/>
        <v>41164.622799999997</v>
      </c>
      <c r="F24" s="111">
        <v>0</v>
      </c>
      <c r="G24" s="111"/>
      <c r="H24" s="111"/>
      <c r="I24" s="111"/>
      <c r="J24" s="111"/>
      <c r="K24" s="111"/>
      <c r="L24" s="111">
        <f>2400-2400</f>
        <v>0</v>
      </c>
      <c r="M24" s="111">
        <f>2400-2400</f>
        <v>0</v>
      </c>
      <c r="N24" s="111">
        <f>2400-2400</f>
        <v>0</v>
      </c>
      <c r="O24" s="111">
        <f>6000-6000</f>
        <v>0</v>
      </c>
      <c r="P24" s="111">
        <f>6000-6000</f>
        <v>0</v>
      </c>
      <c r="Q24" s="145">
        <v>41164.622799999997</v>
      </c>
      <c r="R24" s="189" t="s">
        <v>115</v>
      </c>
      <c r="S24" s="147"/>
    </row>
    <row r="25" spans="1:19" s="17" customFormat="1" ht="38.25" customHeight="1" x14ac:dyDescent="0.3">
      <c r="A25" s="219"/>
      <c r="B25" s="254"/>
      <c r="C25" s="220" t="s">
        <v>113</v>
      </c>
      <c r="D25" s="105" t="s">
        <v>0</v>
      </c>
      <c r="E25" s="106">
        <f>SUM(F25:Q25)</f>
        <v>10396.021380000002</v>
      </c>
      <c r="F25" s="106">
        <f>F26+F27+F28+F29+F31</f>
        <v>1757.1061199999999</v>
      </c>
      <c r="G25" s="106">
        <f t="shared" ref="G25:Q25" si="14">G26+G27+G28+G29+G31</f>
        <v>837.12225000000001</v>
      </c>
      <c r="H25" s="106">
        <f t="shared" si="14"/>
        <v>2246.0456399999998</v>
      </c>
      <c r="I25" s="106">
        <f t="shared" si="14"/>
        <v>753.35666000000003</v>
      </c>
      <c r="J25" s="106">
        <f t="shared" si="14"/>
        <v>335.68878999999993</v>
      </c>
      <c r="K25" s="106">
        <f t="shared" si="14"/>
        <v>450.37621000000001</v>
      </c>
      <c r="L25" s="106">
        <f t="shared" si="14"/>
        <v>1143.82168</v>
      </c>
      <c r="M25" s="106">
        <f t="shared" si="14"/>
        <v>332.52743999999996</v>
      </c>
      <c r="N25" s="106">
        <f t="shared" si="14"/>
        <v>386.02656000000002</v>
      </c>
      <c r="O25" s="106">
        <f t="shared" si="14"/>
        <v>825.2324000000001</v>
      </c>
      <c r="P25" s="106">
        <f t="shared" si="14"/>
        <v>361.98491999999999</v>
      </c>
      <c r="Q25" s="143">
        <f t="shared" si="14"/>
        <v>966.73270999999977</v>
      </c>
      <c r="R25" s="106">
        <f t="shared" ref="R25:S25" si="15">R26+R27+R28+R29+R31</f>
        <v>0</v>
      </c>
      <c r="S25" s="143">
        <f t="shared" si="15"/>
        <v>0</v>
      </c>
    </row>
    <row r="26" spans="1:19" s="17" customFormat="1" ht="38.25" customHeight="1" x14ac:dyDescent="0.4">
      <c r="A26" s="219"/>
      <c r="B26" s="254"/>
      <c r="C26" s="221"/>
      <c r="D26" s="40" t="s">
        <v>6</v>
      </c>
      <c r="E26" s="164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45"/>
      <c r="R26" s="173"/>
      <c r="S26" s="146"/>
    </row>
    <row r="27" spans="1:19" s="17" customFormat="1" ht="38.25" customHeight="1" x14ac:dyDescent="0.4">
      <c r="A27" s="219"/>
      <c r="B27" s="254"/>
      <c r="C27" s="221"/>
      <c r="D27" s="40" t="s">
        <v>7</v>
      </c>
      <c r="E27" s="164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45"/>
      <c r="R27" s="173"/>
      <c r="S27" s="146"/>
    </row>
    <row r="28" spans="1:19" s="17" customFormat="1" ht="38.25" customHeight="1" x14ac:dyDescent="0.4">
      <c r="A28" s="219"/>
      <c r="B28" s="254"/>
      <c r="C28" s="221"/>
      <c r="D28" s="40" t="s">
        <v>1</v>
      </c>
      <c r="E28" s="163">
        <f t="shared" ref="E28" si="16">SUM(F28:Q28)</f>
        <v>10396.021380000002</v>
      </c>
      <c r="F28" s="111">
        <f>1304.76984+452.33628</f>
        <v>1757.1061199999999</v>
      </c>
      <c r="G28" s="111">
        <v>837.12225000000001</v>
      </c>
      <c r="H28" s="111">
        <f>2496.05475-250.00911</f>
        <v>2246.0456399999998</v>
      </c>
      <c r="I28" s="111">
        <f>1490.8841-737.52744</f>
        <v>753.35666000000003</v>
      </c>
      <c r="J28" s="111">
        <f>1547.52814-1211.83935</f>
        <v>335.68878999999993</v>
      </c>
      <c r="K28" s="111">
        <f>1307.45991-857.0837</f>
        <v>450.37621000000001</v>
      </c>
      <c r="L28" s="111">
        <f>2101.75526-957.93358</f>
        <v>1143.82168</v>
      </c>
      <c r="M28" s="111">
        <f>992.20588-659.67844</f>
        <v>332.52743999999996</v>
      </c>
      <c r="N28" s="111">
        <f>733.68682-347.66026</f>
        <v>386.02656000000002</v>
      </c>
      <c r="O28" s="111">
        <f>1320.80366-495.57126</f>
        <v>825.2324000000001</v>
      </c>
      <c r="P28" s="111">
        <f>688.48272-326.4978</f>
        <v>361.98491999999999</v>
      </c>
      <c r="Q28" s="145">
        <f>2574.97439-1608.24168</f>
        <v>966.73270999999977</v>
      </c>
      <c r="R28" s="173"/>
      <c r="S28" s="146"/>
    </row>
    <row r="29" spans="1:19" s="17" customFormat="1" ht="38.25" customHeight="1" x14ac:dyDescent="0.4">
      <c r="A29" s="219"/>
      <c r="B29" s="254"/>
      <c r="C29" s="221"/>
      <c r="D29" s="40" t="s">
        <v>2</v>
      </c>
      <c r="E29" s="16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45"/>
      <c r="R29" s="173"/>
      <c r="S29" s="146"/>
    </row>
    <row r="30" spans="1:19" s="17" customFormat="1" ht="38.25" customHeight="1" x14ac:dyDescent="0.4">
      <c r="A30" s="219"/>
      <c r="B30" s="254"/>
      <c r="C30" s="221"/>
      <c r="D30" s="134" t="s">
        <v>72</v>
      </c>
      <c r="E30" s="164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45"/>
      <c r="R30" s="173"/>
      <c r="S30" s="146"/>
    </row>
    <row r="31" spans="1:19" s="17" customFormat="1" ht="38.25" customHeight="1" x14ac:dyDescent="0.4">
      <c r="A31" s="219"/>
      <c r="B31" s="254"/>
      <c r="C31" s="226"/>
      <c r="D31" s="40" t="s">
        <v>4</v>
      </c>
      <c r="E31" s="164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45"/>
      <c r="R31" s="173"/>
      <c r="S31" s="146"/>
    </row>
    <row r="32" spans="1:19" s="17" customFormat="1" ht="38.25" customHeight="1" x14ac:dyDescent="0.4">
      <c r="A32" s="219"/>
      <c r="B32" s="254"/>
      <c r="C32" s="220" t="s">
        <v>112</v>
      </c>
      <c r="D32" s="105" t="s">
        <v>0</v>
      </c>
      <c r="E32" s="106">
        <f>SUM(F32:Q32)</f>
        <v>7452.0426199999993</v>
      </c>
      <c r="F32" s="106">
        <f>F33+F34+F35+F36+F38</f>
        <v>0</v>
      </c>
      <c r="G32" s="106">
        <f t="shared" ref="G32:Q32" si="17">G33+G34+G35+G36+G38</f>
        <v>0</v>
      </c>
      <c r="H32" s="106">
        <f t="shared" si="17"/>
        <v>250.00910999999999</v>
      </c>
      <c r="I32" s="106">
        <f t="shared" si="17"/>
        <v>737.52743999999996</v>
      </c>
      <c r="J32" s="106">
        <f t="shared" si="17"/>
        <v>1211.83935</v>
      </c>
      <c r="K32" s="106">
        <f t="shared" si="17"/>
        <v>857.08370000000002</v>
      </c>
      <c r="L32" s="106">
        <f t="shared" si="17"/>
        <v>957.93358000000001</v>
      </c>
      <c r="M32" s="106">
        <f t="shared" si="17"/>
        <v>659.67844000000002</v>
      </c>
      <c r="N32" s="106">
        <f t="shared" si="17"/>
        <v>347.66025999999999</v>
      </c>
      <c r="O32" s="106">
        <f t="shared" si="17"/>
        <v>495.57126</v>
      </c>
      <c r="P32" s="106">
        <f t="shared" si="17"/>
        <v>326.49779999999998</v>
      </c>
      <c r="Q32" s="143">
        <f t="shared" si="17"/>
        <v>1608.2416800000001</v>
      </c>
      <c r="R32" s="173"/>
      <c r="S32" s="146"/>
    </row>
    <row r="33" spans="1:19" s="17" customFormat="1" ht="38.25" customHeight="1" x14ac:dyDescent="0.4">
      <c r="A33" s="219"/>
      <c r="B33" s="254"/>
      <c r="C33" s="221"/>
      <c r="D33" s="40" t="s">
        <v>6</v>
      </c>
      <c r="E33" s="164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45"/>
      <c r="R33" s="173"/>
      <c r="S33" s="146"/>
    </row>
    <row r="34" spans="1:19" s="17" customFormat="1" ht="38.25" customHeight="1" x14ac:dyDescent="0.4">
      <c r="A34" s="219"/>
      <c r="B34" s="254"/>
      <c r="C34" s="221"/>
      <c r="D34" s="40" t="s">
        <v>7</v>
      </c>
      <c r="E34" s="164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45"/>
      <c r="R34" s="173"/>
      <c r="S34" s="146"/>
    </row>
    <row r="35" spans="1:19" s="17" customFormat="1" ht="38.25" customHeight="1" x14ac:dyDescent="0.4">
      <c r="A35" s="219"/>
      <c r="B35" s="254"/>
      <c r="C35" s="221"/>
      <c r="D35" s="40" t="s">
        <v>1</v>
      </c>
      <c r="E35" s="163">
        <f t="shared" ref="E35" si="18">SUM(F35:Q35)</f>
        <v>7452.0426199999993</v>
      </c>
      <c r="F35" s="111">
        <v>0</v>
      </c>
      <c r="G35" s="111">
        <v>0</v>
      </c>
      <c r="H35" s="111">
        <v>250.00910999999999</v>
      </c>
      <c r="I35" s="111">
        <v>737.52743999999996</v>
      </c>
      <c r="J35" s="111">
        <v>1211.83935</v>
      </c>
      <c r="K35" s="111">
        <v>857.08370000000002</v>
      </c>
      <c r="L35" s="111">
        <v>957.93358000000001</v>
      </c>
      <c r="M35" s="111">
        <v>659.67844000000002</v>
      </c>
      <c r="N35" s="111">
        <v>347.66025999999999</v>
      </c>
      <c r="O35" s="111">
        <v>495.57126</v>
      </c>
      <c r="P35" s="111">
        <v>326.49779999999998</v>
      </c>
      <c r="Q35" s="145">
        <v>1608.2416800000001</v>
      </c>
      <c r="R35" s="173"/>
      <c r="S35" s="146"/>
    </row>
    <row r="36" spans="1:19" s="17" customFormat="1" ht="38.25" customHeight="1" x14ac:dyDescent="0.4">
      <c r="A36" s="219"/>
      <c r="B36" s="254"/>
      <c r="C36" s="221"/>
      <c r="D36" s="40" t="s">
        <v>2</v>
      </c>
      <c r="E36" s="164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45"/>
      <c r="R36" s="173"/>
      <c r="S36" s="146"/>
    </row>
    <row r="37" spans="1:19" s="17" customFormat="1" ht="38.25" customHeight="1" x14ac:dyDescent="0.4">
      <c r="A37" s="219"/>
      <c r="B37" s="254"/>
      <c r="C37" s="221"/>
      <c r="D37" s="134" t="s">
        <v>72</v>
      </c>
      <c r="E37" s="164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45"/>
      <c r="R37" s="173"/>
      <c r="S37" s="146"/>
    </row>
    <row r="38" spans="1:19" s="17" customFormat="1" ht="38.25" customHeight="1" thickBot="1" x14ac:dyDescent="0.45">
      <c r="A38" s="237"/>
      <c r="B38" s="255"/>
      <c r="C38" s="226"/>
      <c r="D38" s="40" t="s">
        <v>4</v>
      </c>
      <c r="E38" s="164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45"/>
      <c r="R38" s="173"/>
      <c r="S38" s="146"/>
    </row>
    <row r="39" spans="1:19" s="17" customFormat="1" ht="54.75" customHeight="1" x14ac:dyDescent="0.35">
      <c r="A39" s="210" t="s">
        <v>8</v>
      </c>
      <c r="B39" s="203" t="s">
        <v>85</v>
      </c>
      <c r="C39" s="214" t="s">
        <v>86</v>
      </c>
      <c r="D39" s="105" t="s">
        <v>0</v>
      </c>
      <c r="E39" s="106">
        <f>SUM(F39:Q39)</f>
        <v>710.00009999999997</v>
      </c>
      <c r="F39" s="106">
        <f>F40+F41+F42+F43+F45</f>
        <v>0</v>
      </c>
      <c r="G39" s="106">
        <f t="shared" ref="G39" si="19">G40+G41+G42+G43+G45</f>
        <v>135.19999999999999</v>
      </c>
      <c r="H39" s="106">
        <f t="shared" ref="H39" si="20">H40+H41+H42+H43+H45</f>
        <v>0</v>
      </c>
      <c r="I39" s="106">
        <f t="shared" ref="I39" si="21">I40+I41+I42+I43+I45</f>
        <v>0</v>
      </c>
      <c r="J39" s="106">
        <f t="shared" ref="J39" si="22">J40+J41+J42+J43+J45</f>
        <v>26.8</v>
      </c>
      <c r="K39" s="106">
        <f t="shared" ref="K39" si="23">K40+K41+K42+K43+K45</f>
        <v>0</v>
      </c>
      <c r="L39" s="106">
        <f t="shared" ref="L39" si="24">L40+L41+L42+L43+L45</f>
        <v>75</v>
      </c>
      <c r="M39" s="106">
        <f t="shared" ref="M39" si="25">M40+M41+M42+M43+M45</f>
        <v>0</v>
      </c>
      <c r="N39" s="106">
        <f t="shared" ref="N39" si="26">N40+N41+N42+N43+N45</f>
        <v>0</v>
      </c>
      <c r="O39" s="106">
        <f t="shared" ref="O39" si="27">O40+O41+O42+O43+O45</f>
        <v>0</v>
      </c>
      <c r="P39" s="106">
        <f t="shared" ref="P39" si="28">P40+P41+P42+P43+P45</f>
        <v>0</v>
      </c>
      <c r="Q39" s="143">
        <f t="shared" ref="Q39" si="29">Q40+Q41+Q42+Q43+Q45</f>
        <v>473.00009999999997</v>
      </c>
      <c r="R39" s="232"/>
      <c r="S39" s="233"/>
    </row>
    <row r="40" spans="1:19" s="17" customFormat="1" ht="38.25" customHeight="1" x14ac:dyDescent="0.4">
      <c r="A40" s="210"/>
      <c r="B40" s="203"/>
      <c r="C40" s="214"/>
      <c r="D40" s="40" t="s">
        <v>6</v>
      </c>
      <c r="E40" s="108">
        <f>SUM(F40:Q40)</f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44">
        <v>0</v>
      </c>
      <c r="R40" s="173"/>
      <c r="S40" s="160"/>
    </row>
    <row r="41" spans="1:19" s="17" customFormat="1" ht="50.25" customHeight="1" x14ac:dyDescent="0.4">
      <c r="A41" s="210"/>
      <c r="B41" s="203"/>
      <c r="C41" s="214"/>
      <c r="D41" s="40" t="s">
        <v>7</v>
      </c>
      <c r="E41" s="108">
        <f t="shared" ref="E41:E45" si="30">SUM(F41:Q41)</f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44">
        <v>0</v>
      </c>
      <c r="R41" s="173"/>
      <c r="S41" s="160"/>
    </row>
    <row r="42" spans="1:19" s="17" customFormat="1" ht="50.25" customHeight="1" x14ac:dyDescent="0.4">
      <c r="A42" s="210"/>
      <c r="B42" s="203"/>
      <c r="C42" s="214"/>
      <c r="D42" s="40" t="s">
        <v>1</v>
      </c>
      <c r="E42" s="108">
        <f t="shared" si="30"/>
        <v>710.00009999999997</v>
      </c>
      <c r="F42" s="111">
        <v>0</v>
      </c>
      <c r="G42" s="111">
        <v>135.19999999999999</v>
      </c>
      <c r="H42" s="111"/>
      <c r="I42" s="111"/>
      <c r="J42" s="111">
        <v>26.8</v>
      </c>
      <c r="K42" s="111"/>
      <c r="L42" s="111">
        <v>75</v>
      </c>
      <c r="M42" s="111">
        <v>0</v>
      </c>
      <c r="N42" s="111">
        <v>0</v>
      </c>
      <c r="O42" s="111">
        <v>0</v>
      </c>
      <c r="P42" s="111">
        <v>0</v>
      </c>
      <c r="Q42" s="145">
        <v>473.00009999999997</v>
      </c>
      <c r="R42" s="166">
        <v>710.00009999999997</v>
      </c>
      <c r="S42" s="167">
        <f>R42-E42</f>
        <v>0</v>
      </c>
    </row>
    <row r="43" spans="1:19" s="17" customFormat="1" ht="58.5" customHeight="1" x14ac:dyDescent="0.4">
      <c r="A43" s="210"/>
      <c r="B43" s="203"/>
      <c r="C43" s="214"/>
      <c r="D43" s="40" t="s">
        <v>2</v>
      </c>
      <c r="E43" s="108">
        <f t="shared" si="30"/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44">
        <v>0</v>
      </c>
      <c r="R43" s="173"/>
      <c r="S43" s="160"/>
    </row>
    <row r="44" spans="1:19" s="17" customFormat="1" ht="40.5" customHeight="1" x14ac:dyDescent="0.4">
      <c r="A44" s="210"/>
      <c r="B44" s="203"/>
      <c r="C44" s="214"/>
      <c r="D44" s="134" t="s">
        <v>72</v>
      </c>
      <c r="E44" s="108">
        <f t="shared" si="30"/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44">
        <v>0</v>
      </c>
      <c r="R44" s="173"/>
      <c r="S44" s="160"/>
    </row>
    <row r="45" spans="1:19" s="17" customFormat="1" ht="34.5" customHeight="1" thickBot="1" x14ac:dyDescent="0.45">
      <c r="A45" s="210"/>
      <c r="B45" s="203"/>
      <c r="C45" s="214"/>
      <c r="D45" s="40" t="s">
        <v>4</v>
      </c>
      <c r="E45" s="108">
        <f t="shared" si="30"/>
        <v>0</v>
      </c>
      <c r="F45" s="110">
        <v>0</v>
      </c>
      <c r="G45" s="110">
        <v>0</v>
      </c>
      <c r="H45" s="110">
        <v>0</v>
      </c>
      <c r="I45" s="110">
        <v>0</v>
      </c>
      <c r="J45" s="110">
        <v>0</v>
      </c>
      <c r="K45" s="110">
        <v>0</v>
      </c>
      <c r="L45" s="110">
        <v>0</v>
      </c>
      <c r="M45" s="110">
        <v>0</v>
      </c>
      <c r="N45" s="110">
        <v>0</v>
      </c>
      <c r="O45" s="110">
        <v>0</v>
      </c>
      <c r="P45" s="110">
        <v>0</v>
      </c>
      <c r="Q45" s="144">
        <v>0</v>
      </c>
      <c r="R45" s="175"/>
      <c r="S45" s="158"/>
    </row>
    <row r="46" spans="1:19" s="17" customFormat="1" ht="41.25" customHeight="1" x14ac:dyDescent="0.4">
      <c r="A46" s="218" t="s">
        <v>9</v>
      </c>
      <c r="B46" s="220" t="s">
        <v>83</v>
      </c>
      <c r="C46" s="215" t="s">
        <v>84</v>
      </c>
      <c r="D46" s="105" t="s">
        <v>0</v>
      </c>
      <c r="E46" s="106">
        <f>SUM(F46:Q46)</f>
        <v>5049.5933799999993</v>
      </c>
      <c r="F46" s="106">
        <f>F47+F48+F49+F50+F52</f>
        <v>449.14060000000001</v>
      </c>
      <c r="G46" s="106">
        <f t="shared" ref="G46" si="31">G47+G48+G49+G50+G52</f>
        <v>273.24101000000002</v>
      </c>
      <c r="H46" s="106">
        <f t="shared" ref="H46" si="32">H47+H48+H49+H50+H52</f>
        <v>312.50839000000002</v>
      </c>
      <c r="I46" s="106">
        <f t="shared" ref="I46" si="33">I47+I48+I49+I50+I52</f>
        <v>300.01738</v>
      </c>
      <c r="J46" s="106">
        <f t="shared" ref="J46" si="34">J47+J48+J49+J50+J52</f>
        <v>199.08613</v>
      </c>
      <c r="K46" s="106">
        <f t="shared" ref="K46" si="35">K47+K48+K49+K50+K52</f>
        <v>927.34132999999997</v>
      </c>
      <c r="L46" s="106">
        <f t="shared" ref="L46" si="36">L47+L48+L49+L50+L52</f>
        <v>882.49050999999997</v>
      </c>
      <c r="M46" s="106">
        <f t="shared" ref="M46" si="37">M47+M48+M49+M50+M52</f>
        <v>265.14042999999998</v>
      </c>
      <c r="N46" s="106">
        <f t="shared" ref="N46" si="38">N47+N48+N49+N50+N52</f>
        <v>161.96645000000001</v>
      </c>
      <c r="O46" s="106">
        <f t="shared" ref="O46" si="39">O47+O48+O49+O50+O52</f>
        <v>431.33602999999999</v>
      </c>
      <c r="P46" s="106">
        <f t="shared" ref="P46" si="40">P47+P48+P49+P50+P52</f>
        <v>248.48653999999999</v>
      </c>
      <c r="Q46" s="143">
        <f t="shared" ref="Q46" si="41">Q47+Q48+Q49+Q50+Q52</f>
        <v>598.83857999999998</v>
      </c>
      <c r="R46" s="176"/>
      <c r="S46" s="159"/>
    </row>
    <row r="47" spans="1:19" s="17" customFormat="1" ht="41.25" customHeight="1" x14ac:dyDescent="0.4">
      <c r="A47" s="219"/>
      <c r="B47" s="221"/>
      <c r="C47" s="216"/>
      <c r="D47" s="40" t="s">
        <v>6</v>
      </c>
      <c r="E47" s="108">
        <f>SUM(F47:Q47)</f>
        <v>4039.6</v>
      </c>
      <c r="F47" s="110">
        <v>409.14060000000001</v>
      </c>
      <c r="G47" s="110">
        <v>273.24101000000002</v>
      </c>
      <c r="H47" s="110">
        <f>307.36266+0.14573</f>
        <v>307.50839000000002</v>
      </c>
      <c r="I47" s="110">
        <v>300.01738</v>
      </c>
      <c r="J47" s="110">
        <v>199.08613</v>
      </c>
      <c r="K47" s="110">
        <v>920.03133000000003</v>
      </c>
      <c r="L47" s="110">
        <v>846.49050999999997</v>
      </c>
      <c r="M47" s="110">
        <v>236.96432999999999</v>
      </c>
      <c r="N47" s="110">
        <v>127.24354</v>
      </c>
      <c r="O47" s="110">
        <v>382.66104000000001</v>
      </c>
      <c r="P47" s="110">
        <v>37.215739999999997</v>
      </c>
      <c r="Q47" s="144">
        <v>0</v>
      </c>
      <c r="R47" s="166">
        <v>4039.6</v>
      </c>
      <c r="S47" s="167">
        <f>R47-E47</f>
        <v>0</v>
      </c>
    </row>
    <row r="48" spans="1:19" s="17" customFormat="1" ht="41.25" customHeight="1" x14ac:dyDescent="0.4">
      <c r="A48" s="219"/>
      <c r="B48" s="221"/>
      <c r="C48" s="216"/>
      <c r="D48" s="40" t="s">
        <v>7</v>
      </c>
      <c r="E48" s="108">
        <f t="shared" ref="E48:E52" si="42">SUM(F48:Q48)</f>
        <v>1009.99338</v>
      </c>
      <c r="F48" s="111">
        <v>40</v>
      </c>
      <c r="G48" s="111">
        <v>0</v>
      </c>
      <c r="H48" s="110">
        <v>5</v>
      </c>
      <c r="I48" s="110">
        <v>0</v>
      </c>
      <c r="J48" s="110">
        <v>0</v>
      </c>
      <c r="K48" s="110">
        <v>7.31</v>
      </c>
      <c r="L48" s="110">
        <v>36</v>
      </c>
      <c r="M48" s="110">
        <v>28.176100000000002</v>
      </c>
      <c r="N48" s="110">
        <v>34.722909999999999</v>
      </c>
      <c r="O48" s="110">
        <v>48.674990000000001</v>
      </c>
      <c r="P48" s="110">
        <v>211.27080000000001</v>
      </c>
      <c r="Q48" s="144">
        <v>598.83857999999998</v>
      </c>
      <c r="R48" s="166">
        <v>1009.99338</v>
      </c>
      <c r="S48" s="167">
        <f>R48-E48</f>
        <v>0</v>
      </c>
    </row>
    <row r="49" spans="1:19" s="17" customFormat="1" ht="30.75" customHeight="1" x14ac:dyDescent="0.4">
      <c r="A49" s="219"/>
      <c r="B49" s="221"/>
      <c r="C49" s="216"/>
      <c r="D49" s="40" t="s">
        <v>1</v>
      </c>
      <c r="E49" s="108">
        <f t="shared" si="42"/>
        <v>0</v>
      </c>
      <c r="F49" s="111">
        <v>0</v>
      </c>
      <c r="G49" s="111"/>
      <c r="H49" s="111"/>
      <c r="I49" s="111"/>
      <c r="J49" s="111"/>
      <c r="K49" s="111"/>
      <c r="L49" s="111"/>
      <c r="M49" s="111"/>
      <c r="N49" s="111"/>
      <c r="O49" s="111"/>
      <c r="P49" s="111">
        <v>0</v>
      </c>
      <c r="Q49" s="145">
        <v>0</v>
      </c>
      <c r="R49" s="173"/>
      <c r="S49" s="160"/>
    </row>
    <row r="50" spans="1:19" s="17" customFormat="1" ht="39.75" customHeight="1" x14ac:dyDescent="0.4">
      <c r="A50" s="219"/>
      <c r="B50" s="221"/>
      <c r="C50" s="216"/>
      <c r="D50" s="40" t="s">
        <v>2</v>
      </c>
      <c r="E50" s="108">
        <f t="shared" si="42"/>
        <v>0</v>
      </c>
      <c r="F50" s="111">
        <v>0</v>
      </c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45"/>
      <c r="R50" s="173"/>
      <c r="S50" s="160"/>
    </row>
    <row r="51" spans="1:19" s="17" customFormat="1" ht="41.25" customHeight="1" x14ac:dyDescent="0.4">
      <c r="A51" s="219"/>
      <c r="B51" s="221"/>
      <c r="C51" s="216"/>
      <c r="D51" s="134" t="s">
        <v>72</v>
      </c>
      <c r="E51" s="108">
        <f t="shared" si="42"/>
        <v>0</v>
      </c>
      <c r="F51" s="110">
        <v>0</v>
      </c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44"/>
      <c r="R51" s="173"/>
      <c r="S51" s="160"/>
    </row>
    <row r="52" spans="1:19" s="17" customFormat="1" ht="23.25" customHeight="1" thickBot="1" x14ac:dyDescent="0.45">
      <c r="A52" s="219"/>
      <c r="B52" s="221"/>
      <c r="C52" s="217"/>
      <c r="D52" s="40" t="s">
        <v>4</v>
      </c>
      <c r="E52" s="108">
        <f t="shared" si="42"/>
        <v>0</v>
      </c>
      <c r="F52" s="110">
        <v>0</v>
      </c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44"/>
      <c r="R52" s="175"/>
      <c r="S52" s="142"/>
    </row>
    <row r="53" spans="1:19" s="17" customFormat="1" ht="29.25" customHeight="1" x14ac:dyDescent="0.4">
      <c r="A53" s="219"/>
      <c r="B53" s="221"/>
      <c r="C53" s="215" t="s">
        <v>106</v>
      </c>
      <c r="D53" s="40" t="s">
        <v>0</v>
      </c>
      <c r="E53" s="106">
        <f>SUM(F53:Q53)</f>
        <v>231.60661999999999</v>
      </c>
      <c r="F53" s="139">
        <f>SUM(F54:F59)</f>
        <v>0</v>
      </c>
      <c r="G53" s="139">
        <f>SUM(G54:G59)</f>
        <v>0</v>
      </c>
      <c r="H53" s="139">
        <f t="shared" ref="H53:Q53" si="43">SUM(H54:H59)</f>
        <v>0</v>
      </c>
      <c r="I53" s="139">
        <f t="shared" si="43"/>
        <v>0</v>
      </c>
      <c r="J53" s="139">
        <f t="shared" si="43"/>
        <v>0</v>
      </c>
      <c r="K53" s="139">
        <f t="shared" si="43"/>
        <v>0</v>
      </c>
      <c r="L53" s="139">
        <f t="shared" si="43"/>
        <v>0</v>
      </c>
      <c r="M53" s="139">
        <f t="shared" si="43"/>
        <v>0</v>
      </c>
      <c r="N53" s="139">
        <f t="shared" si="43"/>
        <v>0</v>
      </c>
      <c r="O53" s="139">
        <f t="shared" si="43"/>
        <v>0</v>
      </c>
      <c r="P53" s="139">
        <f t="shared" si="43"/>
        <v>231.60661999999999</v>
      </c>
      <c r="Q53" s="139">
        <f t="shared" si="43"/>
        <v>0</v>
      </c>
      <c r="R53" s="172"/>
    </row>
    <row r="54" spans="1:19" s="17" customFormat="1" ht="48.75" customHeight="1" x14ac:dyDescent="0.4">
      <c r="A54" s="219"/>
      <c r="B54" s="221"/>
      <c r="C54" s="216"/>
      <c r="D54" s="40" t="s">
        <v>6</v>
      </c>
      <c r="E54" s="108">
        <f t="shared" ref="E54:E59" si="44">SUM(F54:Q54)</f>
        <v>0</v>
      </c>
      <c r="F54" s="110"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0</v>
      </c>
      <c r="Q54" s="110">
        <v>0</v>
      </c>
      <c r="R54" s="172"/>
    </row>
    <row r="55" spans="1:19" s="17" customFormat="1" ht="46.5" customHeight="1" x14ac:dyDescent="0.4">
      <c r="A55" s="219"/>
      <c r="B55" s="221"/>
      <c r="C55" s="216"/>
      <c r="D55" s="40" t="s">
        <v>7</v>
      </c>
      <c r="E55" s="108">
        <f t="shared" si="44"/>
        <v>231.60661999999999</v>
      </c>
      <c r="F55" s="110">
        <v>0</v>
      </c>
      <c r="G55" s="110"/>
      <c r="H55" s="110"/>
      <c r="I55" s="110"/>
      <c r="J55" s="110"/>
      <c r="K55" s="110"/>
      <c r="L55" s="110"/>
      <c r="M55" s="110"/>
      <c r="N55" s="110"/>
      <c r="O55" s="110"/>
      <c r="P55" s="110">
        <v>231.60661999999999</v>
      </c>
      <c r="Q55" s="110"/>
      <c r="R55" s="172">
        <v>231.60661999999999</v>
      </c>
      <c r="S55" s="168">
        <f>R55-E55</f>
        <v>0</v>
      </c>
    </row>
    <row r="56" spans="1:19" s="17" customFormat="1" ht="29.25" customHeight="1" x14ac:dyDescent="0.4">
      <c r="A56" s="219"/>
      <c r="B56" s="221"/>
      <c r="C56" s="216"/>
      <c r="D56" s="40" t="s">
        <v>1</v>
      </c>
      <c r="E56" s="108">
        <f t="shared" si="44"/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0</v>
      </c>
      <c r="Q56" s="110">
        <v>0</v>
      </c>
      <c r="R56" s="172"/>
    </row>
    <row r="57" spans="1:19" s="17" customFormat="1" ht="63.75" customHeight="1" x14ac:dyDescent="0.4">
      <c r="A57" s="219"/>
      <c r="B57" s="221"/>
      <c r="C57" s="216"/>
      <c r="D57" s="40" t="s">
        <v>2</v>
      </c>
      <c r="E57" s="108">
        <f t="shared" si="44"/>
        <v>0</v>
      </c>
      <c r="F57" s="110">
        <v>0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72"/>
    </row>
    <row r="58" spans="1:19" s="17" customFormat="1" ht="29.25" customHeight="1" x14ac:dyDescent="0.4">
      <c r="A58" s="219"/>
      <c r="B58" s="221"/>
      <c r="C58" s="216"/>
      <c r="D58" s="40" t="s">
        <v>72</v>
      </c>
      <c r="E58" s="108">
        <f t="shared" si="44"/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72"/>
    </row>
    <row r="59" spans="1:19" s="17" customFormat="1" ht="29.25" customHeight="1" x14ac:dyDescent="0.4">
      <c r="A59" s="219"/>
      <c r="B59" s="221"/>
      <c r="C59" s="217"/>
      <c r="D59" s="40" t="s">
        <v>4</v>
      </c>
      <c r="E59" s="108">
        <f t="shared" si="44"/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10">
        <v>0</v>
      </c>
      <c r="N59" s="110">
        <v>0</v>
      </c>
      <c r="O59" s="110">
        <v>0</v>
      </c>
      <c r="P59" s="110">
        <v>0</v>
      </c>
      <c r="Q59" s="110">
        <v>0</v>
      </c>
      <c r="R59" s="172"/>
    </row>
    <row r="60" spans="1:19" s="17" customFormat="1" ht="47.25" customHeight="1" x14ac:dyDescent="0.4">
      <c r="A60" s="219"/>
      <c r="B60" s="221"/>
      <c r="C60" s="204" t="s">
        <v>52</v>
      </c>
      <c r="D60" s="105" t="s">
        <v>0</v>
      </c>
      <c r="E60" s="106">
        <f>SUM(F60:Q60)</f>
        <v>988.89999999999986</v>
      </c>
      <c r="F60" s="106">
        <f>F61+F62+F63+F64+F66</f>
        <v>0</v>
      </c>
      <c r="G60" s="106">
        <f t="shared" ref="G60" si="45">G61+G62+G63+G64+G66</f>
        <v>196.1</v>
      </c>
      <c r="H60" s="106">
        <f t="shared" ref="H60" si="46">H61+H62+H63+H64+H66</f>
        <v>111.66000000000001</v>
      </c>
      <c r="I60" s="106">
        <f t="shared" ref="I60" si="47">I61+I62+I63+I64+I66</f>
        <v>302.89999999999998</v>
      </c>
      <c r="J60" s="106">
        <f t="shared" ref="J60" si="48">J61+J62+J63+J64+J66</f>
        <v>169.76</v>
      </c>
      <c r="K60" s="106">
        <f t="shared" ref="K60" si="49">K61+K62+K63+K64+K66</f>
        <v>130.36000000000001</v>
      </c>
      <c r="L60" s="106">
        <f t="shared" ref="L60" si="50">L61+L62+L63+L64+L66</f>
        <v>0</v>
      </c>
      <c r="M60" s="106">
        <f t="shared" ref="M60" si="51">M61+M62+M63+M64+M66</f>
        <v>0</v>
      </c>
      <c r="N60" s="106">
        <f t="shared" ref="N60" si="52">N61+N62+N63+N64+N66</f>
        <v>39.06</v>
      </c>
      <c r="O60" s="106">
        <f t="shared" ref="O60" si="53">O61+O62+O63+O64+O66</f>
        <v>0</v>
      </c>
      <c r="P60" s="106">
        <f t="shared" ref="P60" si="54">P61+P62+P63+P64+P66</f>
        <v>39.06</v>
      </c>
      <c r="Q60" s="106">
        <f t="shared" ref="Q60" si="55">Q61+Q62+Q63+Q64+Q66</f>
        <v>0</v>
      </c>
      <c r="R60" s="227"/>
      <c r="S60" s="228"/>
    </row>
    <row r="61" spans="1:19" s="17" customFormat="1" ht="39.75" customHeight="1" x14ac:dyDescent="0.4">
      <c r="A61" s="219"/>
      <c r="B61" s="221"/>
      <c r="C61" s="204"/>
      <c r="D61" s="40" t="s">
        <v>6</v>
      </c>
      <c r="E61" s="108">
        <f>SUM(F61:Q61)</f>
        <v>756.39999999999986</v>
      </c>
      <c r="F61" s="110">
        <f>0</f>
        <v>0</v>
      </c>
      <c r="G61" s="111">
        <f>181.6</f>
        <v>181.6</v>
      </c>
      <c r="H61" s="111">
        <v>100.51</v>
      </c>
      <c r="I61" s="111">
        <v>302.89999999999998</v>
      </c>
      <c r="J61" s="111">
        <v>87.66</v>
      </c>
      <c r="K61" s="111">
        <v>27.91</v>
      </c>
      <c r="L61" s="111"/>
      <c r="M61" s="111">
        <v>0</v>
      </c>
      <c r="N61" s="111">
        <v>27.91</v>
      </c>
      <c r="O61" s="111"/>
      <c r="P61" s="111">
        <v>27.91</v>
      </c>
      <c r="Q61" s="111"/>
      <c r="R61" s="172">
        <v>756.4</v>
      </c>
      <c r="S61" s="168">
        <f t="shared" ref="S61:S62" si="56">R61-E61</f>
        <v>0</v>
      </c>
    </row>
    <row r="62" spans="1:19" s="17" customFormat="1" ht="45.75" customHeight="1" x14ac:dyDescent="0.4">
      <c r="A62" s="219"/>
      <c r="B62" s="221"/>
      <c r="C62" s="204"/>
      <c r="D62" s="40" t="s">
        <v>7</v>
      </c>
      <c r="E62" s="108">
        <f t="shared" ref="E62:E66" si="57">SUM(F62:Q62)</f>
        <v>232.5</v>
      </c>
      <c r="F62" s="110"/>
      <c r="G62" s="111">
        <v>14.5</v>
      </c>
      <c r="H62" s="111">
        <f>11.15</f>
        <v>11.15</v>
      </c>
      <c r="I62" s="111">
        <v>0</v>
      </c>
      <c r="J62" s="111">
        <f>5.6+76.5</f>
        <v>82.1</v>
      </c>
      <c r="K62" s="111">
        <f>11.15+91.3</f>
        <v>102.45</v>
      </c>
      <c r="L62" s="111"/>
      <c r="M62" s="111"/>
      <c r="N62" s="111">
        <f>11.15</f>
        <v>11.15</v>
      </c>
      <c r="O62" s="111"/>
      <c r="P62" s="111">
        <v>11.15</v>
      </c>
      <c r="Q62" s="111">
        <v>0</v>
      </c>
      <c r="R62" s="172">
        <v>232.5</v>
      </c>
      <c r="S62" s="168">
        <f t="shared" si="56"/>
        <v>0</v>
      </c>
    </row>
    <row r="63" spans="1:19" s="17" customFormat="1" ht="29.25" customHeight="1" x14ac:dyDescent="0.4">
      <c r="A63" s="219"/>
      <c r="B63" s="221"/>
      <c r="C63" s="204"/>
      <c r="D63" s="40" t="s">
        <v>1</v>
      </c>
      <c r="E63" s="108">
        <f t="shared" si="57"/>
        <v>0</v>
      </c>
      <c r="F63" s="110">
        <v>0</v>
      </c>
      <c r="G63" s="111">
        <v>0</v>
      </c>
      <c r="H63" s="111">
        <v>0</v>
      </c>
      <c r="I63" s="111">
        <v>0</v>
      </c>
      <c r="J63" s="111">
        <v>0</v>
      </c>
      <c r="K63" s="111">
        <v>0</v>
      </c>
      <c r="L63" s="111">
        <v>0</v>
      </c>
      <c r="M63" s="111">
        <v>0</v>
      </c>
      <c r="N63" s="111">
        <v>0</v>
      </c>
      <c r="O63" s="111">
        <v>0</v>
      </c>
      <c r="P63" s="111">
        <v>0</v>
      </c>
      <c r="Q63" s="111"/>
      <c r="R63" s="172"/>
    </row>
    <row r="64" spans="1:19" s="17" customFormat="1" ht="56.25" x14ac:dyDescent="0.4">
      <c r="A64" s="219"/>
      <c r="B64" s="221"/>
      <c r="C64" s="204"/>
      <c r="D64" s="40" t="s">
        <v>2</v>
      </c>
      <c r="E64" s="108">
        <f t="shared" si="57"/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72"/>
    </row>
    <row r="65" spans="1:19" s="17" customFormat="1" ht="28.5" customHeight="1" x14ac:dyDescent="0.4">
      <c r="A65" s="219"/>
      <c r="B65" s="221"/>
      <c r="C65" s="204"/>
      <c r="D65" s="134" t="s">
        <v>72</v>
      </c>
      <c r="E65" s="108">
        <f t="shared" si="57"/>
        <v>0</v>
      </c>
      <c r="F65" s="110"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10">
        <v>0</v>
      </c>
      <c r="P65" s="110">
        <v>0</v>
      </c>
      <c r="Q65" s="110">
        <v>0</v>
      </c>
      <c r="R65" s="172"/>
    </row>
    <row r="66" spans="1:19" s="17" customFormat="1" ht="27.75" customHeight="1" x14ac:dyDescent="0.4">
      <c r="A66" s="219"/>
      <c r="B66" s="221"/>
      <c r="C66" s="204"/>
      <c r="D66" s="40" t="s">
        <v>4</v>
      </c>
      <c r="E66" s="108">
        <f t="shared" si="57"/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72"/>
    </row>
    <row r="67" spans="1:19" s="17" customFormat="1" ht="40.5" customHeight="1" x14ac:dyDescent="0.4">
      <c r="A67" s="210" t="s">
        <v>10</v>
      </c>
      <c r="B67" s="213" t="s">
        <v>82</v>
      </c>
      <c r="C67" s="214" t="s">
        <v>100</v>
      </c>
      <c r="D67" s="105" t="s">
        <v>0</v>
      </c>
      <c r="E67" s="106">
        <f>SUM(F67:Q67)</f>
        <v>5294.4293199999993</v>
      </c>
      <c r="F67" s="106">
        <f>F68+F69+F70+F71+F73</f>
        <v>83.679370000000006</v>
      </c>
      <c r="G67" s="106">
        <f t="shared" ref="G67" si="58">G68+G69+G70+G71+G73</f>
        <v>447.43716000000001</v>
      </c>
      <c r="H67" s="106">
        <f t="shared" ref="H67" si="59">H68+H69+H70+H71+H73</f>
        <v>720.73716000000002</v>
      </c>
      <c r="I67" s="106">
        <f t="shared" ref="I67" si="60">I68+I69+I70+I71+I73</f>
        <v>303.68084999999996</v>
      </c>
      <c r="J67" s="106">
        <f t="shared" ref="J67" si="61">J68+J69+J70+J71+J73</f>
        <v>404.61115000000001</v>
      </c>
      <c r="K67" s="106">
        <f t="shared" ref="K67" si="62">K68+K69+K70+K71+K73</f>
        <v>400.22741000000002</v>
      </c>
      <c r="L67" s="106">
        <f t="shared" ref="L67" si="63">L68+L69+L70+L71+L73</f>
        <v>400.21100999999999</v>
      </c>
      <c r="M67" s="106">
        <f t="shared" ref="M67" si="64">M68+M69+M70+M71+M73</f>
        <v>400.21213</v>
      </c>
      <c r="N67" s="106">
        <f t="shared" ref="N67" si="65">N68+N69+N70+N71+N73</f>
        <v>400.21213</v>
      </c>
      <c r="O67" s="106">
        <f t="shared" ref="O67" si="66">O68+O69+O70+O71+O73</f>
        <v>400.21213</v>
      </c>
      <c r="P67" s="106">
        <f t="shared" ref="P67" si="67">P68+P69+P70+P71+P73</f>
        <v>406.88062000000002</v>
      </c>
      <c r="Q67" s="106">
        <f t="shared" ref="Q67" si="68">Q68+Q69+Q70+Q71+Q73</f>
        <v>926.32820000000004</v>
      </c>
      <c r="R67" s="172"/>
    </row>
    <row r="68" spans="1:19" s="17" customFormat="1" ht="30" customHeight="1" x14ac:dyDescent="0.4">
      <c r="A68" s="210"/>
      <c r="B68" s="213"/>
      <c r="C68" s="214"/>
      <c r="D68" s="40" t="s">
        <v>6</v>
      </c>
      <c r="E68" s="108">
        <f>SUM(F68:Q68)</f>
        <v>0</v>
      </c>
      <c r="F68" s="110">
        <v>0</v>
      </c>
      <c r="G68" s="110">
        <v>0</v>
      </c>
      <c r="H68" s="110">
        <v>0</v>
      </c>
      <c r="I68" s="110">
        <v>0</v>
      </c>
      <c r="J68" s="110">
        <v>0</v>
      </c>
      <c r="K68" s="110">
        <v>0</v>
      </c>
      <c r="L68" s="110">
        <v>0</v>
      </c>
      <c r="M68" s="110">
        <v>0</v>
      </c>
      <c r="N68" s="110">
        <v>0</v>
      </c>
      <c r="O68" s="110">
        <v>0</v>
      </c>
      <c r="P68" s="110">
        <v>0</v>
      </c>
      <c r="Q68" s="110">
        <v>0</v>
      </c>
      <c r="R68" s="172"/>
    </row>
    <row r="69" spans="1:19" s="17" customFormat="1" ht="43.5" customHeight="1" x14ac:dyDescent="0.4">
      <c r="A69" s="210"/>
      <c r="B69" s="213"/>
      <c r="C69" s="214"/>
      <c r="D69" s="40" t="s">
        <v>7</v>
      </c>
      <c r="E69" s="108">
        <f t="shared" ref="E69:E73" si="69">SUM(F69:Q69)</f>
        <v>273.3</v>
      </c>
      <c r="F69" s="110"/>
      <c r="G69" s="110"/>
      <c r="H69" s="110">
        <v>273.3</v>
      </c>
      <c r="I69" s="110"/>
      <c r="J69" s="110"/>
      <c r="K69" s="110"/>
      <c r="L69" s="110"/>
      <c r="M69" s="110"/>
      <c r="N69" s="110"/>
      <c r="O69" s="110"/>
      <c r="P69" s="110"/>
      <c r="Q69" s="110"/>
      <c r="R69" s="172">
        <v>273.3</v>
      </c>
      <c r="S69" s="168">
        <f>R69-E69</f>
        <v>0</v>
      </c>
    </row>
    <row r="70" spans="1:19" s="17" customFormat="1" ht="30.75" customHeight="1" x14ac:dyDescent="0.4">
      <c r="A70" s="210"/>
      <c r="B70" s="213"/>
      <c r="C70" s="214"/>
      <c r="D70" s="40" t="s">
        <v>1</v>
      </c>
      <c r="E70" s="108">
        <f t="shared" si="69"/>
        <v>5021.12932</v>
      </c>
      <c r="F70" s="111">
        <v>83.679370000000006</v>
      </c>
      <c r="G70" s="111">
        <v>447.43716000000001</v>
      </c>
      <c r="H70" s="111">
        <v>447.43716000000001</v>
      </c>
      <c r="I70" s="110">
        <f>474.40236-170.72151</f>
        <v>303.68084999999996</v>
      </c>
      <c r="J70" s="110">
        <f>452.61115-48</f>
        <v>404.61115000000001</v>
      </c>
      <c r="K70" s="110">
        <f>448.22741-48</f>
        <v>400.22741000000002</v>
      </c>
      <c r="L70" s="110">
        <f>447.51101-47.3</f>
        <v>400.21100999999999</v>
      </c>
      <c r="M70" s="110">
        <f>447.51213-47.3</f>
        <v>400.21213</v>
      </c>
      <c r="N70" s="110">
        <f>447.51213-47.3</f>
        <v>400.21213</v>
      </c>
      <c r="O70" s="110">
        <f>447.51213-47.3</f>
        <v>400.21213</v>
      </c>
      <c r="P70" s="110">
        <f>449.78062-42.9</f>
        <v>406.88062000000002</v>
      </c>
      <c r="Q70" s="110">
        <f>1023.98589-97.65769</f>
        <v>926.32820000000004</v>
      </c>
      <c r="R70" s="172">
        <v>5617.6085199999998</v>
      </c>
      <c r="S70" s="168">
        <f>R70-E70</f>
        <v>596.47919999999976</v>
      </c>
    </row>
    <row r="71" spans="1:19" s="17" customFormat="1" ht="58.5" customHeight="1" x14ac:dyDescent="0.4">
      <c r="A71" s="210"/>
      <c r="B71" s="213"/>
      <c r="C71" s="214"/>
      <c r="D71" s="40" t="s">
        <v>2</v>
      </c>
      <c r="E71" s="108">
        <f t="shared" si="69"/>
        <v>0</v>
      </c>
      <c r="F71" s="110">
        <v>0</v>
      </c>
      <c r="G71" s="110">
        <v>0</v>
      </c>
      <c r="H71" s="110">
        <v>0</v>
      </c>
      <c r="I71" s="110">
        <v>0</v>
      </c>
      <c r="J71" s="110">
        <v>0</v>
      </c>
      <c r="K71" s="110">
        <v>0</v>
      </c>
      <c r="L71" s="110">
        <v>0</v>
      </c>
      <c r="M71" s="110">
        <v>0</v>
      </c>
      <c r="N71" s="110">
        <v>0</v>
      </c>
      <c r="O71" s="110">
        <v>0</v>
      </c>
      <c r="P71" s="110">
        <v>0</v>
      </c>
      <c r="Q71" s="110">
        <v>0</v>
      </c>
      <c r="R71" s="172"/>
    </row>
    <row r="72" spans="1:19" s="17" customFormat="1" ht="33.75" customHeight="1" x14ac:dyDescent="0.4">
      <c r="A72" s="210"/>
      <c r="B72" s="213"/>
      <c r="C72" s="214"/>
      <c r="D72" s="134" t="s">
        <v>72</v>
      </c>
      <c r="E72" s="108">
        <f t="shared" si="69"/>
        <v>0</v>
      </c>
      <c r="F72" s="110">
        <v>0</v>
      </c>
      <c r="G72" s="110">
        <v>0</v>
      </c>
      <c r="H72" s="110">
        <v>0</v>
      </c>
      <c r="I72" s="110">
        <v>0</v>
      </c>
      <c r="J72" s="110">
        <v>0</v>
      </c>
      <c r="K72" s="110">
        <v>0</v>
      </c>
      <c r="L72" s="110">
        <v>0</v>
      </c>
      <c r="M72" s="110">
        <v>0</v>
      </c>
      <c r="N72" s="110">
        <v>0</v>
      </c>
      <c r="O72" s="110">
        <v>0</v>
      </c>
      <c r="P72" s="110">
        <v>0</v>
      </c>
      <c r="Q72" s="110">
        <v>0</v>
      </c>
      <c r="R72" s="172"/>
    </row>
    <row r="73" spans="1:19" s="17" customFormat="1" ht="27.75" customHeight="1" x14ac:dyDescent="0.4">
      <c r="A73" s="210"/>
      <c r="B73" s="213"/>
      <c r="C73" s="214"/>
      <c r="D73" s="40" t="s">
        <v>4</v>
      </c>
      <c r="E73" s="108">
        <f t="shared" si="69"/>
        <v>0</v>
      </c>
      <c r="F73" s="110">
        <v>0</v>
      </c>
      <c r="G73" s="110">
        <v>0</v>
      </c>
      <c r="H73" s="110">
        <v>0</v>
      </c>
      <c r="I73" s="110">
        <v>0</v>
      </c>
      <c r="J73" s="110">
        <v>0</v>
      </c>
      <c r="K73" s="110">
        <v>0</v>
      </c>
      <c r="L73" s="110">
        <v>0</v>
      </c>
      <c r="M73" s="110">
        <v>0</v>
      </c>
      <c r="N73" s="110">
        <v>0</v>
      </c>
      <c r="O73" s="110">
        <v>0</v>
      </c>
      <c r="P73" s="110">
        <v>0</v>
      </c>
      <c r="Q73" s="110">
        <v>0</v>
      </c>
      <c r="R73" s="172"/>
    </row>
    <row r="74" spans="1:19" s="17" customFormat="1" ht="46.5" customHeight="1" x14ac:dyDescent="0.4">
      <c r="A74" s="218" t="s">
        <v>87</v>
      </c>
      <c r="B74" s="243" t="s">
        <v>81</v>
      </c>
      <c r="C74" s="246" t="s">
        <v>80</v>
      </c>
      <c r="D74" s="135" t="s">
        <v>0</v>
      </c>
      <c r="E74" s="106">
        <f>SUM(F74:Q74)</f>
        <v>0</v>
      </c>
      <c r="F74" s="107">
        <f>F75+F76+F77+F78+F80</f>
        <v>0</v>
      </c>
      <c r="G74" s="107">
        <f t="shared" ref="G74" si="70">G75+G76+G77+G78+G80</f>
        <v>0</v>
      </c>
      <c r="H74" s="107">
        <f t="shared" ref="H74" si="71">H75+H76+H77+H78+H80</f>
        <v>0</v>
      </c>
      <c r="I74" s="107">
        <f t="shared" ref="I74" si="72">I75+I76+I77+I78+I80</f>
        <v>0</v>
      </c>
      <c r="J74" s="107">
        <f t="shared" ref="J74" si="73">J75+J76+J77+J78+J80</f>
        <v>0</v>
      </c>
      <c r="K74" s="107">
        <f t="shared" ref="K74" si="74">K75+K76+K77+K78+K80</f>
        <v>0</v>
      </c>
      <c r="L74" s="107">
        <f t="shared" ref="L74" si="75">L75+L76+L77+L78+L80</f>
        <v>0</v>
      </c>
      <c r="M74" s="107">
        <f t="shared" ref="M74" si="76">M75+M76+M77+M78+M80</f>
        <v>0</v>
      </c>
      <c r="N74" s="107">
        <f t="shared" ref="N74" si="77">N75+N76+N77+N78+N80</f>
        <v>0</v>
      </c>
      <c r="O74" s="107">
        <f t="shared" ref="O74" si="78">O75+O76+O77+O78+O80</f>
        <v>0</v>
      </c>
      <c r="P74" s="107">
        <f t="shared" ref="P74" si="79">P75+P76+P77+P78+P80</f>
        <v>0</v>
      </c>
      <c r="Q74" s="107">
        <f t="shared" ref="Q74" si="80">Q75+Q76+Q77+Q78+Q80</f>
        <v>0</v>
      </c>
      <c r="R74" s="172"/>
    </row>
    <row r="75" spans="1:19" s="17" customFormat="1" ht="33.75" customHeight="1" x14ac:dyDescent="0.4">
      <c r="A75" s="219"/>
      <c r="B75" s="244"/>
      <c r="C75" s="246"/>
      <c r="D75" s="134" t="s">
        <v>6</v>
      </c>
      <c r="E75" s="108">
        <f>SUM(F75:Q75)</f>
        <v>0</v>
      </c>
      <c r="F75" s="109">
        <v>0</v>
      </c>
      <c r="G75" s="109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0</v>
      </c>
      <c r="M75" s="109">
        <v>0</v>
      </c>
      <c r="N75" s="109">
        <v>0</v>
      </c>
      <c r="O75" s="109">
        <v>0</v>
      </c>
      <c r="P75" s="109">
        <v>0</v>
      </c>
      <c r="Q75" s="109">
        <v>0</v>
      </c>
      <c r="R75" s="172"/>
    </row>
    <row r="76" spans="1:19" s="17" customFormat="1" ht="46.5" customHeight="1" x14ac:dyDescent="0.4">
      <c r="A76" s="219"/>
      <c r="B76" s="244"/>
      <c r="C76" s="246"/>
      <c r="D76" s="134" t="s">
        <v>7</v>
      </c>
      <c r="E76" s="108">
        <f t="shared" ref="E76:E80" si="81">SUM(F76:Q76)</f>
        <v>0</v>
      </c>
      <c r="F76" s="109">
        <v>0</v>
      </c>
      <c r="G76" s="109">
        <v>0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0</v>
      </c>
      <c r="N76" s="109">
        <v>0</v>
      </c>
      <c r="O76" s="109">
        <v>0</v>
      </c>
      <c r="P76" s="109">
        <v>0</v>
      </c>
      <c r="Q76" s="109">
        <v>0</v>
      </c>
      <c r="R76" s="172"/>
    </row>
    <row r="77" spans="1:19" s="17" customFormat="1" ht="33.75" customHeight="1" x14ac:dyDescent="0.4">
      <c r="A77" s="219"/>
      <c r="B77" s="244"/>
      <c r="C77" s="246"/>
      <c r="D77" s="134" t="s">
        <v>1</v>
      </c>
      <c r="E77" s="108">
        <f t="shared" si="81"/>
        <v>0</v>
      </c>
      <c r="F77" s="112">
        <v>0</v>
      </c>
      <c r="G77" s="111"/>
      <c r="H77" s="111"/>
      <c r="I77" s="111"/>
      <c r="J77" s="111"/>
      <c r="K77" s="111"/>
      <c r="L77" s="111">
        <f>50-50</f>
        <v>0</v>
      </c>
      <c r="M77" s="111">
        <f>200-200</f>
        <v>0</v>
      </c>
      <c r="N77" s="111"/>
      <c r="O77" s="111"/>
      <c r="P77" s="111"/>
      <c r="Q77" s="111"/>
      <c r="R77" s="172">
        <v>250</v>
      </c>
      <c r="S77" s="168">
        <f>R77-E77</f>
        <v>250</v>
      </c>
    </row>
    <row r="78" spans="1:19" s="17" customFormat="1" ht="67.5" customHeight="1" x14ac:dyDescent="0.4">
      <c r="A78" s="219"/>
      <c r="B78" s="244"/>
      <c r="C78" s="246"/>
      <c r="D78" s="134" t="s">
        <v>2</v>
      </c>
      <c r="E78" s="108">
        <f t="shared" si="81"/>
        <v>0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  <c r="Q78" s="112">
        <v>0</v>
      </c>
      <c r="R78" s="172"/>
    </row>
    <row r="79" spans="1:19" s="17" customFormat="1" ht="24" customHeight="1" x14ac:dyDescent="0.4">
      <c r="A79" s="219"/>
      <c r="B79" s="244"/>
      <c r="C79" s="246"/>
      <c r="D79" s="134" t="s">
        <v>72</v>
      </c>
      <c r="E79" s="108">
        <f t="shared" si="81"/>
        <v>0</v>
      </c>
      <c r="F79" s="109">
        <v>0</v>
      </c>
      <c r="G79" s="109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  <c r="N79" s="109">
        <v>0</v>
      </c>
      <c r="O79" s="109">
        <v>0</v>
      </c>
      <c r="P79" s="109">
        <v>0</v>
      </c>
      <c r="Q79" s="109">
        <v>0</v>
      </c>
      <c r="R79" s="172"/>
    </row>
    <row r="80" spans="1:19" s="17" customFormat="1" ht="30" customHeight="1" x14ac:dyDescent="0.4">
      <c r="A80" s="237"/>
      <c r="B80" s="245"/>
      <c r="C80" s="246"/>
      <c r="D80" s="134" t="s">
        <v>4</v>
      </c>
      <c r="E80" s="108">
        <f t="shared" si="81"/>
        <v>0</v>
      </c>
      <c r="F80" s="109">
        <v>0</v>
      </c>
      <c r="G80" s="109">
        <v>0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0</v>
      </c>
      <c r="O80" s="109">
        <v>0</v>
      </c>
      <c r="P80" s="109">
        <v>0</v>
      </c>
      <c r="Q80" s="109">
        <v>0</v>
      </c>
      <c r="R80" s="172"/>
    </row>
    <row r="81" spans="1:19" s="17" customFormat="1" ht="35.25" hidden="1" customHeight="1" x14ac:dyDescent="0.4">
      <c r="A81" s="218" t="s">
        <v>88</v>
      </c>
      <c r="B81" s="248" t="s">
        <v>103</v>
      </c>
      <c r="C81" s="239" t="s">
        <v>98</v>
      </c>
      <c r="D81" s="135" t="s">
        <v>0</v>
      </c>
      <c r="E81" s="106">
        <f>SUM(F81:Q81)</f>
        <v>0</v>
      </c>
      <c r="F81" s="107">
        <f>F82+F83+F84+F85+F87</f>
        <v>0</v>
      </c>
      <c r="G81" s="107">
        <f t="shared" ref="G81" si="82">G82+G83+G84+G85+G87</f>
        <v>0</v>
      </c>
      <c r="H81" s="107">
        <f t="shared" ref="H81" si="83">H82+H83+H84+H85+H87</f>
        <v>0</v>
      </c>
      <c r="I81" s="107">
        <f t="shared" ref="I81" si="84">I82+I83+I84+I85+I87</f>
        <v>0</v>
      </c>
      <c r="J81" s="107">
        <f t="shared" ref="J81" si="85">J82+J83+J84+J85+J87</f>
        <v>0</v>
      </c>
      <c r="K81" s="107">
        <f t="shared" ref="K81" si="86">K82+K83+K84+K85+K87</f>
        <v>0</v>
      </c>
      <c r="L81" s="107">
        <f t="shared" ref="L81" si="87">L82+L83+L84+L85+L87</f>
        <v>0</v>
      </c>
      <c r="M81" s="107">
        <f t="shared" ref="M81" si="88">M82+M83+M84+M85+M87</f>
        <v>0</v>
      </c>
      <c r="N81" s="107">
        <f t="shared" ref="N81" si="89">N82+N83+N84+N85+N87</f>
        <v>0</v>
      </c>
      <c r="O81" s="107">
        <f t="shared" ref="O81" si="90">O82+O83+O84+O85+O87</f>
        <v>0</v>
      </c>
      <c r="P81" s="107">
        <f t="shared" ref="P81" si="91">P82+P83+P84+P85+P87</f>
        <v>0</v>
      </c>
      <c r="Q81" s="148">
        <f t="shared" ref="Q81" si="92">Q82+Q83+Q84+Q85+Q87</f>
        <v>0</v>
      </c>
      <c r="R81" s="176"/>
      <c r="S81" s="140"/>
    </row>
    <row r="82" spans="1:19" s="17" customFormat="1" ht="26.25" hidden="1" customHeight="1" x14ac:dyDescent="0.4">
      <c r="A82" s="219"/>
      <c r="B82" s="249"/>
      <c r="C82" s="240"/>
      <c r="D82" s="134" t="s">
        <v>6</v>
      </c>
      <c r="E82" s="108"/>
      <c r="F82" s="109"/>
      <c r="G82" s="109"/>
      <c r="H82" s="110"/>
      <c r="I82" s="110"/>
      <c r="J82" s="110"/>
      <c r="K82" s="110"/>
      <c r="L82" s="110"/>
      <c r="M82" s="110"/>
      <c r="N82" s="110"/>
      <c r="O82" s="110"/>
      <c r="P82" s="110">
        <v>0</v>
      </c>
      <c r="Q82" s="144"/>
      <c r="R82" s="166"/>
      <c r="S82" s="141"/>
    </row>
    <row r="83" spans="1:19" s="17" customFormat="1" ht="40.5" hidden="1" customHeight="1" x14ac:dyDescent="0.4">
      <c r="A83" s="219"/>
      <c r="B83" s="249"/>
      <c r="C83" s="240"/>
      <c r="D83" s="134" t="s">
        <v>7</v>
      </c>
      <c r="E83" s="108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>
        <v>0</v>
      </c>
      <c r="Q83" s="149">
        <v>0</v>
      </c>
      <c r="R83" s="166"/>
      <c r="S83" s="141"/>
    </row>
    <row r="84" spans="1:19" s="17" customFormat="1" ht="27.75" hidden="1" customHeight="1" x14ac:dyDescent="0.4">
      <c r="A84" s="219"/>
      <c r="B84" s="249"/>
      <c r="C84" s="240"/>
      <c r="D84" s="134" t="s">
        <v>1</v>
      </c>
      <c r="E84" s="108">
        <f t="shared" ref="E84:E87" si="93">SUM(F84:Q84)</f>
        <v>0</v>
      </c>
      <c r="F84" s="109">
        <v>0</v>
      </c>
      <c r="G84" s="109"/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109">
        <v>0</v>
      </c>
      <c r="N84" s="109">
        <v>0</v>
      </c>
      <c r="O84" s="109">
        <v>0</v>
      </c>
      <c r="P84" s="109">
        <v>0</v>
      </c>
      <c r="Q84" s="149">
        <v>0</v>
      </c>
      <c r="R84" s="166"/>
      <c r="S84" s="141"/>
    </row>
    <row r="85" spans="1:19" s="17" customFormat="1" ht="63.75" hidden="1" customHeight="1" x14ac:dyDescent="0.4">
      <c r="A85" s="219"/>
      <c r="B85" s="249"/>
      <c r="C85" s="240"/>
      <c r="D85" s="134" t="s">
        <v>2</v>
      </c>
      <c r="E85" s="108">
        <f t="shared" si="93"/>
        <v>0</v>
      </c>
      <c r="F85" s="109">
        <v>0</v>
      </c>
      <c r="G85" s="109">
        <v>0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09">
        <v>0</v>
      </c>
      <c r="N85" s="109">
        <v>0</v>
      </c>
      <c r="O85" s="109">
        <v>0</v>
      </c>
      <c r="P85" s="109">
        <v>0</v>
      </c>
      <c r="Q85" s="149">
        <v>0</v>
      </c>
      <c r="R85" s="166"/>
      <c r="S85" s="141"/>
    </row>
    <row r="86" spans="1:19" s="17" customFormat="1" ht="30.75" hidden="1" customHeight="1" x14ac:dyDescent="0.4">
      <c r="A86" s="219"/>
      <c r="B86" s="249"/>
      <c r="C86" s="240"/>
      <c r="D86" s="134" t="s">
        <v>72</v>
      </c>
      <c r="E86" s="108">
        <f t="shared" si="93"/>
        <v>0</v>
      </c>
      <c r="F86" s="109">
        <v>0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0</v>
      </c>
      <c r="O86" s="109">
        <v>0</v>
      </c>
      <c r="P86" s="109">
        <v>0</v>
      </c>
      <c r="Q86" s="149">
        <v>0</v>
      </c>
      <c r="R86" s="166"/>
      <c r="S86" s="141"/>
    </row>
    <row r="87" spans="1:19" s="17" customFormat="1" ht="36.75" hidden="1" customHeight="1" thickBot="1" x14ac:dyDescent="0.45">
      <c r="A87" s="219"/>
      <c r="B87" s="249"/>
      <c r="C87" s="241"/>
      <c r="D87" s="134" t="s">
        <v>4</v>
      </c>
      <c r="E87" s="108">
        <f t="shared" si="93"/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0</v>
      </c>
      <c r="P87" s="109">
        <v>0</v>
      </c>
      <c r="Q87" s="149">
        <v>0</v>
      </c>
      <c r="R87" s="171"/>
      <c r="S87" s="142"/>
    </row>
    <row r="88" spans="1:19" s="17" customFormat="1" ht="33" hidden="1" customHeight="1" x14ac:dyDescent="0.4">
      <c r="A88" s="219"/>
      <c r="B88" s="249"/>
      <c r="C88" s="239" t="s">
        <v>99</v>
      </c>
      <c r="D88" s="135" t="s">
        <v>0</v>
      </c>
      <c r="E88" s="106">
        <f>SUM(F88:Q88)</f>
        <v>0</v>
      </c>
      <c r="F88" s="106">
        <f>F89+F90+F91+F92+F94</f>
        <v>0</v>
      </c>
      <c r="G88" s="106">
        <f t="shared" ref="G88" si="94">G89+G90+G91+G92+G94</f>
        <v>0</v>
      </c>
      <c r="H88" s="106">
        <f t="shared" ref="H88" si="95">H89+H90+H91+H92+H94</f>
        <v>0</v>
      </c>
      <c r="I88" s="106">
        <f t="shared" ref="I88" si="96">I89+I90+I91+I92+I94</f>
        <v>0</v>
      </c>
      <c r="J88" s="106">
        <f t="shared" ref="J88" si="97">J89+J90+J91+J92+J94</f>
        <v>0</v>
      </c>
      <c r="K88" s="106">
        <f t="shared" ref="K88" si="98">K89+K90+K91+K92+K94</f>
        <v>0</v>
      </c>
      <c r="L88" s="106">
        <f t="shared" ref="L88" si="99">L89+L90+L91+L92+L94</f>
        <v>0</v>
      </c>
      <c r="M88" s="106">
        <f t="shared" ref="M88" si="100">M89+M90+M91+M92+M94</f>
        <v>0</v>
      </c>
      <c r="N88" s="106">
        <f t="shared" ref="N88" si="101">N89+N90+N91+N92+N94</f>
        <v>0</v>
      </c>
      <c r="O88" s="106">
        <f t="shared" ref="O88" si="102">O89+O90+O91+O92+O94</f>
        <v>0</v>
      </c>
      <c r="P88" s="106">
        <f t="shared" ref="P88" si="103">P89+P90+P91+P92+P94</f>
        <v>0</v>
      </c>
      <c r="Q88" s="143">
        <f t="shared" ref="Q88" si="104">Q89+Q90+Q91+Q92+Q94</f>
        <v>0</v>
      </c>
      <c r="R88" s="177"/>
      <c r="S88" s="140"/>
    </row>
    <row r="89" spans="1:19" s="17" customFormat="1" ht="32.25" hidden="1" customHeight="1" x14ac:dyDescent="0.4">
      <c r="A89" s="219"/>
      <c r="B89" s="249"/>
      <c r="C89" s="240"/>
      <c r="D89" s="134" t="s">
        <v>6</v>
      </c>
      <c r="E89" s="108">
        <f>SUM(F89:Q89)</f>
        <v>0</v>
      </c>
      <c r="F89" s="109">
        <v>0</v>
      </c>
      <c r="G89" s="109">
        <v>0</v>
      </c>
      <c r="H89" s="109">
        <v>0</v>
      </c>
      <c r="I89" s="109">
        <v>0</v>
      </c>
      <c r="J89" s="110"/>
      <c r="K89" s="109">
        <v>0</v>
      </c>
      <c r="L89" s="109">
        <v>0</v>
      </c>
      <c r="M89" s="109">
        <v>0</v>
      </c>
      <c r="N89" s="109">
        <v>0</v>
      </c>
      <c r="O89" s="109">
        <v>0</v>
      </c>
      <c r="P89" s="109">
        <v>0</v>
      </c>
      <c r="Q89" s="149">
        <v>0</v>
      </c>
      <c r="R89" s="166"/>
      <c r="S89" s="141"/>
    </row>
    <row r="90" spans="1:19" s="17" customFormat="1" ht="43.5" hidden="1" customHeight="1" x14ac:dyDescent="0.4">
      <c r="A90" s="219"/>
      <c r="B90" s="249"/>
      <c r="C90" s="240"/>
      <c r="D90" s="134" t="s">
        <v>7</v>
      </c>
      <c r="E90" s="108">
        <f t="shared" ref="E90:E94" si="105">SUM(F90:Q90)</f>
        <v>0</v>
      </c>
      <c r="F90" s="109">
        <v>0</v>
      </c>
      <c r="G90" s="109">
        <v>0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0</v>
      </c>
      <c r="O90" s="109">
        <v>0</v>
      </c>
      <c r="P90" s="109">
        <v>0</v>
      </c>
      <c r="Q90" s="149">
        <v>0</v>
      </c>
      <c r="R90" s="166"/>
      <c r="S90" s="141"/>
    </row>
    <row r="91" spans="1:19" s="17" customFormat="1" ht="33.75" hidden="1" customHeight="1" x14ac:dyDescent="0.4">
      <c r="A91" s="219"/>
      <c r="B91" s="249"/>
      <c r="C91" s="240"/>
      <c r="D91" s="134" t="s">
        <v>1</v>
      </c>
      <c r="E91" s="108">
        <f t="shared" si="105"/>
        <v>0</v>
      </c>
      <c r="F91" s="109">
        <v>0</v>
      </c>
      <c r="G91" s="109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0</v>
      </c>
      <c r="N91" s="109">
        <v>0</v>
      </c>
      <c r="O91" s="109">
        <v>0</v>
      </c>
      <c r="P91" s="109">
        <v>0</v>
      </c>
      <c r="Q91" s="149">
        <v>0</v>
      </c>
      <c r="R91" s="173"/>
      <c r="S91" s="141"/>
    </row>
    <row r="92" spans="1:19" s="17" customFormat="1" ht="67.5" hidden="1" customHeight="1" x14ac:dyDescent="0.4">
      <c r="A92" s="219"/>
      <c r="B92" s="249"/>
      <c r="C92" s="240"/>
      <c r="D92" s="134" t="s">
        <v>2</v>
      </c>
      <c r="E92" s="108">
        <f t="shared" si="105"/>
        <v>0</v>
      </c>
      <c r="F92" s="109">
        <v>0</v>
      </c>
      <c r="G92" s="109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0</v>
      </c>
      <c r="M92" s="109">
        <v>0</v>
      </c>
      <c r="N92" s="109">
        <v>0</v>
      </c>
      <c r="O92" s="109">
        <v>0</v>
      </c>
      <c r="P92" s="109">
        <v>0</v>
      </c>
      <c r="Q92" s="149">
        <v>0</v>
      </c>
      <c r="R92" s="173"/>
      <c r="S92" s="141"/>
    </row>
    <row r="93" spans="1:19" s="17" customFormat="1" ht="33" hidden="1" customHeight="1" x14ac:dyDescent="0.4">
      <c r="A93" s="219"/>
      <c r="B93" s="249"/>
      <c r="C93" s="240"/>
      <c r="D93" s="134" t="s">
        <v>72</v>
      </c>
      <c r="E93" s="108">
        <f t="shared" si="105"/>
        <v>0</v>
      </c>
      <c r="F93" s="109">
        <v>0</v>
      </c>
      <c r="G93" s="109">
        <v>0</v>
      </c>
      <c r="H93" s="109">
        <v>0</v>
      </c>
      <c r="I93" s="109">
        <v>0</v>
      </c>
      <c r="J93" s="109">
        <v>0</v>
      </c>
      <c r="K93" s="109">
        <v>0</v>
      </c>
      <c r="L93" s="109">
        <v>0</v>
      </c>
      <c r="M93" s="109">
        <v>0</v>
      </c>
      <c r="N93" s="109">
        <v>0</v>
      </c>
      <c r="O93" s="109">
        <v>0</v>
      </c>
      <c r="P93" s="109">
        <v>0</v>
      </c>
      <c r="Q93" s="149">
        <v>0</v>
      </c>
      <c r="R93" s="173"/>
      <c r="S93" s="160"/>
    </row>
    <row r="94" spans="1:19" s="17" customFormat="1" ht="21.75" hidden="1" customHeight="1" x14ac:dyDescent="0.4">
      <c r="A94" s="237"/>
      <c r="B94" s="250"/>
      <c r="C94" s="241"/>
      <c r="D94" s="134" t="s">
        <v>4</v>
      </c>
      <c r="E94" s="108">
        <f t="shared" si="105"/>
        <v>0</v>
      </c>
      <c r="F94" s="109">
        <v>0</v>
      </c>
      <c r="G94" s="109">
        <v>0</v>
      </c>
      <c r="H94" s="109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09">
        <v>0</v>
      </c>
      <c r="Q94" s="149">
        <v>0</v>
      </c>
      <c r="R94" s="175"/>
      <c r="S94" s="158"/>
    </row>
    <row r="95" spans="1:19" s="17" customFormat="1" ht="36" customHeight="1" x14ac:dyDescent="0.4">
      <c r="A95" s="238" t="s">
        <v>44</v>
      </c>
      <c r="B95" s="220" t="s">
        <v>101</v>
      </c>
      <c r="C95" s="247" t="s">
        <v>76</v>
      </c>
      <c r="D95" s="104" t="s">
        <v>0</v>
      </c>
      <c r="E95" s="106">
        <f>SUM(F95:Q95)</f>
        <v>819.95</v>
      </c>
      <c r="F95" s="107">
        <f>F96+F97+F98+F99+F101</f>
        <v>0</v>
      </c>
      <c r="G95" s="107">
        <f t="shared" ref="G95" si="106">G96+G97+G98+G99+G101</f>
        <v>41.5</v>
      </c>
      <c r="H95" s="107">
        <f t="shared" ref="H95" si="107">H96+H97+H98+H99+H101</f>
        <v>66.5</v>
      </c>
      <c r="I95" s="107">
        <f t="shared" ref="I95" si="108">I96+I97+I98+I99+I101</f>
        <v>50</v>
      </c>
      <c r="J95" s="107">
        <f t="shared" ref="J95" si="109">J96+J97+J98+J99+J101</f>
        <v>150</v>
      </c>
      <c r="K95" s="107">
        <f t="shared" ref="K95" si="110">K96+K97+K98+K99+K101</f>
        <v>50</v>
      </c>
      <c r="L95" s="107">
        <f t="shared" ref="L95" si="111">L96+L97+L98+L99+L101</f>
        <v>30</v>
      </c>
      <c r="M95" s="107">
        <f t="shared" ref="M95" si="112">M96+M97+M98+M99+M101</f>
        <v>92</v>
      </c>
      <c r="N95" s="107">
        <f t="shared" ref="N95" si="113">N96+N97+N98+N99+N101</f>
        <v>130</v>
      </c>
      <c r="O95" s="107">
        <f t="shared" ref="O95" si="114">O96+O97+O98+O99+O101</f>
        <v>159.94999999999999</v>
      </c>
      <c r="P95" s="107">
        <f t="shared" ref="P95" si="115">P96+P97+P98+P99+P101</f>
        <v>50</v>
      </c>
      <c r="Q95" s="107">
        <f t="shared" ref="Q95" si="116">Q96+Q97+Q98+Q99+Q101</f>
        <v>0</v>
      </c>
      <c r="R95" s="172"/>
      <c r="S95" s="161"/>
    </row>
    <row r="96" spans="1:19" s="17" customFormat="1" ht="36" customHeight="1" x14ac:dyDescent="0.4">
      <c r="A96" s="238"/>
      <c r="B96" s="221"/>
      <c r="C96" s="247"/>
      <c r="D96" s="104" t="s">
        <v>6</v>
      </c>
      <c r="E96" s="108">
        <f>SUM(F96:Q96)</f>
        <v>0</v>
      </c>
      <c r="F96" s="123">
        <f>F103+F110+F117+F124+F131+F138+F145</f>
        <v>0</v>
      </c>
      <c r="G96" s="123">
        <f t="shared" ref="G96:Q96" si="117">G103+G110+G117+G124+G131+G138+G145</f>
        <v>0</v>
      </c>
      <c r="H96" s="123">
        <f t="shared" si="117"/>
        <v>0</v>
      </c>
      <c r="I96" s="123">
        <f t="shared" si="117"/>
        <v>0</v>
      </c>
      <c r="J96" s="123">
        <f t="shared" si="117"/>
        <v>0</v>
      </c>
      <c r="K96" s="123">
        <f t="shared" si="117"/>
        <v>0</v>
      </c>
      <c r="L96" s="123">
        <f t="shared" si="117"/>
        <v>0</v>
      </c>
      <c r="M96" s="123">
        <f t="shared" si="117"/>
        <v>0</v>
      </c>
      <c r="N96" s="123">
        <f t="shared" si="117"/>
        <v>0</v>
      </c>
      <c r="O96" s="123">
        <f t="shared" si="117"/>
        <v>0</v>
      </c>
      <c r="P96" s="123">
        <f t="shared" si="117"/>
        <v>0</v>
      </c>
      <c r="Q96" s="123">
        <f t="shared" si="117"/>
        <v>0</v>
      </c>
      <c r="R96" s="172"/>
    </row>
    <row r="97" spans="1:19" s="17" customFormat="1" ht="41.25" customHeight="1" x14ac:dyDescent="0.4">
      <c r="A97" s="238"/>
      <c r="B97" s="221"/>
      <c r="C97" s="247"/>
      <c r="D97" s="104" t="s">
        <v>7</v>
      </c>
      <c r="E97" s="163">
        <f t="shared" ref="E97:E101" si="118">SUM(F97:Q97)</f>
        <v>0</v>
      </c>
      <c r="F97" s="182">
        <f t="shared" ref="F97:F101" si="119">F104+F111+F118+F125+F132+F139+F146</f>
        <v>0</v>
      </c>
      <c r="G97" s="182">
        <f t="shared" ref="G97:Q97" si="120">G104+G111+G118+G125+G132+G139+G146</f>
        <v>0</v>
      </c>
      <c r="H97" s="182">
        <f t="shared" si="120"/>
        <v>0</v>
      </c>
      <c r="I97" s="182">
        <f t="shared" si="120"/>
        <v>0</v>
      </c>
      <c r="J97" s="182">
        <f t="shared" si="120"/>
        <v>0</v>
      </c>
      <c r="K97" s="182">
        <f t="shared" si="120"/>
        <v>0</v>
      </c>
      <c r="L97" s="182">
        <f t="shared" si="120"/>
        <v>0</v>
      </c>
      <c r="M97" s="182">
        <f t="shared" si="120"/>
        <v>0</v>
      </c>
      <c r="N97" s="182">
        <f t="shared" si="120"/>
        <v>0</v>
      </c>
      <c r="O97" s="182">
        <f t="shared" si="120"/>
        <v>0</v>
      </c>
      <c r="P97" s="182">
        <f t="shared" si="120"/>
        <v>0</v>
      </c>
      <c r="Q97" s="182">
        <f t="shared" si="120"/>
        <v>0</v>
      </c>
      <c r="R97" s="172"/>
    </row>
    <row r="98" spans="1:19" s="17" customFormat="1" ht="38.25" customHeight="1" x14ac:dyDescent="0.4">
      <c r="A98" s="238"/>
      <c r="B98" s="221"/>
      <c r="C98" s="247"/>
      <c r="D98" s="104" t="s">
        <v>1</v>
      </c>
      <c r="E98" s="163">
        <f>E105+E112+E119+E126+E133+E140</f>
        <v>819.95</v>
      </c>
      <c r="F98" s="182">
        <f>F105+F112+F119+F126+F133+F140+F147</f>
        <v>0</v>
      </c>
      <c r="G98" s="182">
        <f t="shared" ref="G98:Q98" si="121">G105+G112+G119+G126+G133+G140+G147</f>
        <v>41.5</v>
      </c>
      <c r="H98" s="182">
        <f t="shared" si="121"/>
        <v>66.5</v>
      </c>
      <c r="I98" s="182">
        <f t="shared" si="121"/>
        <v>50</v>
      </c>
      <c r="J98" s="182">
        <f t="shared" si="121"/>
        <v>150</v>
      </c>
      <c r="K98" s="182">
        <f t="shared" si="121"/>
        <v>50</v>
      </c>
      <c r="L98" s="182">
        <f t="shared" si="121"/>
        <v>30</v>
      </c>
      <c r="M98" s="182">
        <f t="shared" si="121"/>
        <v>92</v>
      </c>
      <c r="N98" s="182">
        <f t="shared" si="121"/>
        <v>130</v>
      </c>
      <c r="O98" s="182">
        <f t="shared" si="121"/>
        <v>159.94999999999999</v>
      </c>
      <c r="P98" s="182">
        <f t="shared" si="121"/>
        <v>50</v>
      </c>
      <c r="Q98" s="182">
        <f t="shared" si="121"/>
        <v>0</v>
      </c>
      <c r="R98" s="172"/>
    </row>
    <row r="99" spans="1:19" s="17" customFormat="1" ht="56.25" customHeight="1" x14ac:dyDescent="0.4">
      <c r="A99" s="238"/>
      <c r="B99" s="221"/>
      <c r="C99" s="247"/>
      <c r="D99" s="104" t="s">
        <v>2</v>
      </c>
      <c r="E99" s="163">
        <f t="shared" si="118"/>
        <v>0</v>
      </c>
      <c r="F99" s="182">
        <f t="shared" si="119"/>
        <v>0</v>
      </c>
      <c r="G99" s="182">
        <f t="shared" ref="G99:Q99" si="122">G106+G113+G120+G127+G134+G141+G148</f>
        <v>0</v>
      </c>
      <c r="H99" s="182">
        <f t="shared" si="122"/>
        <v>0</v>
      </c>
      <c r="I99" s="182">
        <f t="shared" si="122"/>
        <v>0</v>
      </c>
      <c r="J99" s="182">
        <f t="shared" si="122"/>
        <v>0</v>
      </c>
      <c r="K99" s="182">
        <f t="shared" si="122"/>
        <v>0</v>
      </c>
      <c r="L99" s="182">
        <f t="shared" si="122"/>
        <v>0</v>
      </c>
      <c r="M99" s="182">
        <f t="shared" si="122"/>
        <v>0</v>
      </c>
      <c r="N99" s="182">
        <f t="shared" si="122"/>
        <v>0</v>
      </c>
      <c r="O99" s="182">
        <f t="shared" si="122"/>
        <v>0</v>
      </c>
      <c r="P99" s="182">
        <f t="shared" si="122"/>
        <v>0</v>
      </c>
      <c r="Q99" s="182">
        <f t="shared" si="122"/>
        <v>0</v>
      </c>
      <c r="R99" s="172"/>
    </row>
    <row r="100" spans="1:19" s="17" customFormat="1" ht="33.75" customHeight="1" x14ac:dyDescent="0.4">
      <c r="A100" s="238"/>
      <c r="B100" s="221"/>
      <c r="C100" s="247"/>
      <c r="D100" s="105" t="s">
        <v>36</v>
      </c>
      <c r="E100" s="108">
        <f t="shared" si="118"/>
        <v>0</v>
      </c>
      <c r="F100" s="123">
        <f t="shared" si="119"/>
        <v>0</v>
      </c>
      <c r="G100" s="123">
        <f t="shared" ref="G100:G101" si="123">G107+G114+G121+G128+G135+G142+G149</f>
        <v>0</v>
      </c>
      <c r="H100" s="123">
        <f t="shared" ref="H100:O101" si="124">H107+H114+H121+H128+H135+H142+H149</f>
        <v>0</v>
      </c>
      <c r="I100" s="123">
        <f t="shared" si="124"/>
        <v>0</v>
      </c>
      <c r="J100" s="123">
        <f t="shared" si="124"/>
        <v>0</v>
      </c>
      <c r="K100" s="123">
        <f t="shared" si="124"/>
        <v>0</v>
      </c>
      <c r="L100" s="123">
        <f t="shared" si="124"/>
        <v>0</v>
      </c>
      <c r="M100" s="123">
        <f t="shared" si="124"/>
        <v>0</v>
      </c>
      <c r="N100" s="123">
        <f t="shared" si="124"/>
        <v>0</v>
      </c>
      <c r="O100" s="123">
        <f t="shared" si="124"/>
        <v>0</v>
      </c>
      <c r="P100" s="123">
        <f t="shared" ref="P100:Q101" si="125">P107+P114+P121+P128+P135+P142+P149</f>
        <v>0</v>
      </c>
      <c r="Q100" s="123">
        <f t="shared" si="125"/>
        <v>0</v>
      </c>
      <c r="R100" s="172"/>
    </row>
    <row r="101" spans="1:19" s="17" customFormat="1" ht="22.5" customHeight="1" x14ac:dyDescent="0.4">
      <c r="A101" s="238"/>
      <c r="B101" s="221"/>
      <c r="C101" s="247"/>
      <c r="D101" s="104" t="s">
        <v>4</v>
      </c>
      <c r="E101" s="108">
        <f t="shared" si="118"/>
        <v>0</v>
      </c>
      <c r="F101" s="123">
        <f t="shared" si="119"/>
        <v>0</v>
      </c>
      <c r="G101" s="123">
        <f t="shared" si="123"/>
        <v>0</v>
      </c>
      <c r="H101" s="123">
        <f t="shared" si="124"/>
        <v>0</v>
      </c>
      <c r="I101" s="123">
        <f t="shared" si="124"/>
        <v>0</v>
      </c>
      <c r="J101" s="123">
        <f t="shared" si="124"/>
        <v>0</v>
      </c>
      <c r="K101" s="123">
        <f t="shared" si="124"/>
        <v>0</v>
      </c>
      <c r="L101" s="123">
        <f t="shared" si="124"/>
        <v>0</v>
      </c>
      <c r="M101" s="123">
        <f t="shared" si="124"/>
        <v>0</v>
      </c>
      <c r="N101" s="123">
        <f t="shared" si="124"/>
        <v>0</v>
      </c>
      <c r="O101" s="123">
        <f t="shared" si="124"/>
        <v>0</v>
      </c>
      <c r="P101" s="123">
        <f t="shared" si="125"/>
        <v>0</v>
      </c>
      <c r="Q101" s="123">
        <f t="shared" si="125"/>
        <v>0</v>
      </c>
      <c r="R101" s="172"/>
    </row>
    <row r="102" spans="1:19" s="17" customFormat="1" ht="45" customHeight="1" x14ac:dyDescent="0.4">
      <c r="A102" s="218" t="s">
        <v>89</v>
      </c>
      <c r="B102" s="221"/>
      <c r="C102" s="242" t="s">
        <v>71</v>
      </c>
      <c r="D102" s="136" t="s">
        <v>0</v>
      </c>
      <c r="E102" s="106">
        <f>SUM(F102:Q102)</f>
        <v>294.95</v>
      </c>
      <c r="F102" s="107">
        <f>F103+F104+F105+F106+F108</f>
        <v>0</v>
      </c>
      <c r="G102" s="107">
        <f t="shared" ref="G102" si="126">G103+G104+G105+G106+G108</f>
        <v>0</v>
      </c>
      <c r="H102" s="107">
        <f t="shared" ref="H102" si="127">H103+H104+H105+H106+H108</f>
        <v>30</v>
      </c>
      <c r="I102" s="107">
        <f t="shared" ref="I102" si="128">I103+I104+I105+I106+I108</f>
        <v>50</v>
      </c>
      <c r="J102" s="107">
        <f t="shared" ref="J102" si="129">J103+J104+J105+J106+J108</f>
        <v>30</v>
      </c>
      <c r="K102" s="107">
        <f t="shared" ref="K102" si="130">K103+K104+K105+K106+K108</f>
        <v>30</v>
      </c>
      <c r="L102" s="107">
        <f t="shared" ref="L102" si="131">L103+L104+L105+L106+L108</f>
        <v>30</v>
      </c>
      <c r="M102" s="107">
        <f t="shared" ref="M102" si="132">M103+M104+M105+M106+M108</f>
        <v>30</v>
      </c>
      <c r="N102" s="107">
        <f t="shared" ref="N102" si="133">N103+N104+N105+N106+N108</f>
        <v>60</v>
      </c>
      <c r="O102" s="107">
        <f t="shared" ref="O102" si="134">O103+O104+O105+O106+O108</f>
        <v>34.950000000000003</v>
      </c>
      <c r="P102" s="107">
        <f t="shared" ref="P102" si="135">P103+P104+P105+P106+P108</f>
        <v>0</v>
      </c>
      <c r="Q102" s="107">
        <f t="shared" ref="Q102" si="136">Q103+Q104+Q105+Q106+Q108</f>
        <v>0</v>
      </c>
      <c r="R102" s="172"/>
    </row>
    <row r="103" spans="1:19" s="17" customFormat="1" ht="36" customHeight="1" x14ac:dyDescent="0.4">
      <c r="A103" s="219"/>
      <c r="B103" s="221"/>
      <c r="C103" s="242"/>
      <c r="D103" s="137" t="s">
        <v>6</v>
      </c>
      <c r="E103" s="108">
        <f>SUM(F103:Q103)</f>
        <v>0</v>
      </c>
      <c r="F103" s="109">
        <v>0</v>
      </c>
      <c r="G103" s="112"/>
      <c r="H103" s="109"/>
      <c r="I103" s="109"/>
      <c r="J103" s="109"/>
      <c r="K103" s="109"/>
      <c r="L103" s="109"/>
      <c r="M103" s="109"/>
      <c r="N103" s="109"/>
      <c r="O103" s="109"/>
      <c r="P103" s="109"/>
      <c r="Q103" s="112"/>
      <c r="R103" s="172"/>
    </row>
    <row r="104" spans="1:19" s="17" customFormat="1" ht="39" customHeight="1" x14ac:dyDescent="0.4">
      <c r="A104" s="219"/>
      <c r="B104" s="221"/>
      <c r="C104" s="242"/>
      <c r="D104" s="137" t="s">
        <v>7</v>
      </c>
      <c r="E104" s="108">
        <f t="shared" ref="E104:E108" si="137">SUM(F104:Q104)</f>
        <v>0</v>
      </c>
      <c r="F104" s="109">
        <v>0</v>
      </c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72"/>
    </row>
    <row r="105" spans="1:19" s="17" customFormat="1" ht="27" customHeight="1" x14ac:dyDescent="0.4">
      <c r="A105" s="219"/>
      <c r="B105" s="221"/>
      <c r="C105" s="242"/>
      <c r="D105" s="137" t="s">
        <v>1</v>
      </c>
      <c r="E105" s="108">
        <f t="shared" si="137"/>
        <v>294.95</v>
      </c>
      <c r="F105" s="109">
        <v>0</v>
      </c>
      <c r="G105" s="112"/>
      <c r="H105" s="183">
        <v>30</v>
      </c>
      <c r="I105" s="183">
        <v>50</v>
      </c>
      <c r="J105" s="183">
        <v>30</v>
      </c>
      <c r="K105" s="183">
        <v>30</v>
      </c>
      <c r="L105" s="183">
        <v>30</v>
      </c>
      <c r="M105" s="183">
        <v>30</v>
      </c>
      <c r="N105" s="183">
        <v>60</v>
      </c>
      <c r="O105" s="112">
        <v>34.950000000000003</v>
      </c>
      <c r="P105" s="112"/>
      <c r="Q105" s="112"/>
      <c r="R105" s="172">
        <v>294.95</v>
      </c>
      <c r="S105" s="168">
        <f>R105-E105</f>
        <v>0</v>
      </c>
    </row>
    <row r="106" spans="1:19" s="17" customFormat="1" ht="34.5" customHeight="1" x14ac:dyDescent="0.4">
      <c r="A106" s="219"/>
      <c r="B106" s="221"/>
      <c r="C106" s="242"/>
      <c r="D106" s="137" t="s">
        <v>2</v>
      </c>
      <c r="E106" s="108">
        <f t="shared" si="137"/>
        <v>0</v>
      </c>
      <c r="F106" s="109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72"/>
    </row>
    <row r="107" spans="1:19" s="17" customFormat="1" ht="31.5" customHeight="1" x14ac:dyDescent="0.4">
      <c r="A107" s="219"/>
      <c r="B107" s="221"/>
      <c r="C107" s="242"/>
      <c r="D107" s="134" t="s">
        <v>72</v>
      </c>
      <c r="E107" s="108">
        <f t="shared" si="137"/>
        <v>0</v>
      </c>
      <c r="F107" s="109">
        <v>0</v>
      </c>
      <c r="G107" s="112"/>
      <c r="H107" s="109"/>
      <c r="I107" s="109"/>
      <c r="J107" s="109"/>
      <c r="K107" s="109"/>
      <c r="L107" s="109"/>
      <c r="M107" s="109"/>
      <c r="N107" s="109"/>
      <c r="O107" s="109"/>
      <c r="P107" s="109"/>
      <c r="Q107" s="112"/>
      <c r="R107" s="172"/>
    </row>
    <row r="108" spans="1:19" s="17" customFormat="1" ht="30" customHeight="1" x14ac:dyDescent="0.4">
      <c r="A108" s="237"/>
      <c r="B108" s="221"/>
      <c r="C108" s="242"/>
      <c r="D108" s="137" t="s">
        <v>4</v>
      </c>
      <c r="E108" s="108">
        <f t="shared" si="137"/>
        <v>0</v>
      </c>
      <c r="F108" s="109">
        <v>0</v>
      </c>
      <c r="G108" s="112"/>
      <c r="H108" s="109"/>
      <c r="I108" s="109"/>
      <c r="J108" s="109"/>
      <c r="K108" s="109"/>
      <c r="L108" s="109"/>
      <c r="M108" s="109"/>
      <c r="N108" s="109"/>
      <c r="O108" s="109"/>
      <c r="P108" s="109"/>
      <c r="Q108" s="112"/>
      <c r="R108" s="172"/>
    </row>
    <row r="109" spans="1:19" s="17" customFormat="1" ht="37.5" customHeight="1" x14ac:dyDescent="0.4">
      <c r="A109" s="218" t="s">
        <v>90</v>
      </c>
      <c r="B109" s="221"/>
      <c r="C109" s="229" t="s">
        <v>73</v>
      </c>
      <c r="D109" s="136" t="s">
        <v>0</v>
      </c>
      <c r="E109" s="106">
        <f>SUM(F109:Q109)</f>
        <v>40</v>
      </c>
      <c r="F109" s="107">
        <f>F110+F111+F112+F113+F115</f>
        <v>0</v>
      </c>
      <c r="G109" s="107">
        <f t="shared" ref="G109" si="138">G110+G111+G112+G113+G115</f>
        <v>0</v>
      </c>
      <c r="H109" s="107">
        <f t="shared" ref="H109" si="139">H110+H111+H112+H113+H115</f>
        <v>0</v>
      </c>
      <c r="I109" s="107">
        <f t="shared" ref="I109" si="140">I110+I111+I112+I113+I115</f>
        <v>0</v>
      </c>
      <c r="J109" s="107">
        <f t="shared" ref="J109" si="141">J110+J111+J112+J113+J115</f>
        <v>20</v>
      </c>
      <c r="K109" s="107">
        <f t="shared" ref="K109" si="142">K110+K111+K112+K113+K115</f>
        <v>0</v>
      </c>
      <c r="L109" s="107">
        <f t="shared" ref="L109" si="143">L110+L111+L112+L113+L115</f>
        <v>0</v>
      </c>
      <c r="M109" s="107">
        <f t="shared" ref="M109" si="144">M110+M111+M112+M113+M115</f>
        <v>0</v>
      </c>
      <c r="N109" s="107">
        <f t="shared" ref="N109" si="145">N110+N111+N112+N113+N115</f>
        <v>20</v>
      </c>
      <c r="O109" s="107">
        <f t="shared" ref="O109" si="146">O110+O111+O112+O113+O115</f>
        <v>0</v>
      </c>
      <c r="P109" s="107">
        <f t="shared" ref="P109" si="147">P110+P111+P112+P113+P115</f>
        <v>0</v>
      </c>
      <c r="Q109" s="107">
        <f t="shared" ref="Q109" si="148">Q110+Q111+Q112+Q113+Q115</f>
        <v>0</v>
      </c>
      <c r="R109" s="172"/>
    </row>
    <row r="110" spans="1:19" s="17" customFormat="1" ht="34.5" customHeight="1" x14ac:dyDescent="0.4">
      <c r="A110" s="219"/>
      <c r="B110" s="221"/>
      <c r="C110" s="230"/>
      <c r="D110" s="137" t="s">
        <v>6</v>
      </c>
      <c r="E110" s="108">
        <f>SUM(F110:Q110)</f>
        <v>0</v>
      </c>
      <c r="F110" s="109">
        <v>0</v>
      </c>
      <c r="G110" s="112"/>
      <c r="H110" s="109"/>
      <c r="I110" s="109"/>
      <c r="J110" s="109"/>
      <c r="K110" s="109"/>
      <c r="L110" s="109"/>
      <c r="M110" s="109"/>
      <c r="N110" s="109"/>
      <c r="O110" s="109"/>
      <c r="P110" s="109"/>
      <c r="Q110" s="112"/>
      <c r="R110" s="172"/>
    </row>
    <row r="111" spans="1:19" s="17" customFormat="1" ht="51" customHeight="1" x14ac:dyDescent="0.4">
      <c r="A111" s="219"/>
      <c r="B111" s="221"/>
      <c r="C111" s="230"/>
      <c r="D111" s="137" t="s">
        <v>7</v>
      </c>
      <c r="E111" s="108">
        <f t="shared" ref="E111:E115" si="149">SUM(F111:Q111)</f>
        <v>0</v>
      </c>
      <c r="F111" s="109">
        <v>0</v>
      </c>
      <c r="G111" s="112"/>
      <c r="H111" s="109"/>
      <c r="I111" s="109"/>
      <c r="J111" s="109"/>
      <c r="K111" s="109"/>
      <c r="L111" s="109"/>
      <c r="M111" s="109"/>
      <c r="N111" s="109"/>
      <c r="O111" s="109"/>
      <c r="P111" s="109"/>
      <c r="Q111" s="112"/>
      <c r="R111" s="172"/>
    </row>
    <row r="112" spans="1:19" s="17" customFormat="1" ht="33" customHeight="1" x14ac:dyDescent="0.4">
      <c r="A112" s="219"/>
      <c r="B112" s="221"/>
      <c r="C112" s="230"/>
      <c r="D112" s="137" t="s">
        <v>1</v>
      </c>
      <c r="E112" s="108">
        <f t="shared" si="149"/>
        <v>40</v>
      </c>
      <c r="F112" s="109"/>
      <c r="G112" s="112"/>
      <c r="H112" s="109">
        <v>0</v>
      </c>
      <c r="I112" s="109"/>
      <c r="J112" s="109">
        <v>20</v>
      </c>
      <c r="K112" s="109"/>
      <c r="L112" s="109"/>
      <c r="M112" s="109"/>
      <c r="N112" s="109">
        <v>20</v>
      </c>
      <c r="O112" s="109"/>
      <c r="P112" s="109">
        <v>0</v>
      </c>
      <c r="Q112" s="112"/>
      <c r="R112" s="178">
        <v>40</v>
      </c>
    </row>
    <row r="113" spans="1:18" s="17" customFormat="1" ht="62.25" customHeight="1" x14ac:dyDescent="0.4">
      <c r="A113" s="219"/>
      <c r="B113" s="221"/>
      <c r="C113" s="230"/>
      <c r="D113" s="137" t="s">
        <v>2</v>
      </c>
      <c r="E113" s="108">
        <f t="shared" si="149"/>
        <v>0</v>
      </c>
      <c r="F113" s="109">
        <v>0</v>
      </c>
      <c r="G113" s="112"/>
      <c r="H113" s="109"/>
      <c r="I113" s="109"/>
      <c r="J113" s="109"/>
      <c r="K113" s="109"/>
      <c r="L113" s="109"/>
      <c r="M113" s="109"/>
      <c r="N113" s="109"/>
      <c r="O113" s="109"/>
      <c r="P113" s="109"/>
      <c r="Q113" s="112"/>
      <c r="R113" s="172"/>
    </row>
    <row r="114" spans="1:18" s="17" customFormat="1" ht="31.5" customHeight="1" x14ac:dyDescent="0.4">
      <c r="A114" s="219"/>
      <c r="B114" s="221"/>
      <c r="C114" s="230"/>
      <c r="D114" s="134" t="s">
        <v>72</v>
      </c>
      <c r="E114" s="108">
        <f t="shared" si="149"/>
        <v>0</v>
      </c>
      <c r="F114" s="109">
        <v>0</v>
      </c>
      <c r="G114" s="112"/>
      <c r="H114" s="109"/>
      <c r="I114" s="109"/>
      <c r="J114" s="109"/>
      <c r="K114" s="109"/>
      <c r="L114" s="109"/>
      <c r="M114" s="109"/>
      <c r="N114" s="109"/>
      <c r="O114" s="109"/>
      <c r="P114" s="109"/>
      <c r="Q114" s="112"/>
      <c r="R114" s="172"/>
    </row>
    <row r="115" spans="1:18" s="17" customFormat="1" ht="31.5" customHeight="1" x14ac:dyDescent="0.4">
      <c r="A115" s="237"/>
      <c r="B115" s="221"/>
      <c r="C115" s="231"/>
      <c r="D115" s="137" t="s">
        <v>4</v>
      </c>
      <c r="E115" s="108">
        <f t="shared" si="149"/>
        <v>0</v>
      </c>
      <c r="F115" s="109">
        <v>0</v>
      </c>
      <c r="G115" s="112"/>
      <c r="H115" s="109"/>
      <c r="I115" s="109"/>
      <c r="J115" s="109"/>
      <c r="K115" s="109"/>
      <c r="L115" s="109"/>
      <c r="M115" s="109"/>
      <c r="N115" s="109"/>
      <c r="O115" s="109"/>
      <c r="P115" s="109"/>
      <c r="Q115" s="112"/>
      <c r="R115" s="172"/>
    </row>
    <row r="116" spans="1:18" s="17" customFormat="1" ht="42" customHeight="1" x14ac:dyDescent="0.4">
      <c r="A116" s="218" t="s">
        <v>91</v>
      </c>
      <c r="B116" s="221"/>
      <c r="C116" s="242" t="s">
        <v>77</v>
      </c>
      <c r="D116" s="136" t="s">
        <v>0</v>
      </c>
      <c r="E116" s="106">
        <f>SUM(F116:Q116)</f>
        <v>120</v>
      </c>
      <c r="F116" s="107">
        <f>F117+F118+F119+F120+F122</f>
        <v>0</v>
      </c>
      <c r="G116" s="107">
        <f t="shared" ref="G116" si="150">G117+G118+G119+G120+G122</f>
        <v>41.5</v>
      </c>
      <c r="H116" s="107">
        <f t="shared" ref="H116" si="151">H117+H118+H119+H120+H122</f>
        <v>16.5</v>
      </c>
      <c r="I116" s="107">
        <f t="shared" ref="I116" si="152">I117+I118+I119+I120+I122</f>
        <v>0</v>
      </c>
      <c r="J116" s="107">
        <f t="shared" ref="J116" si="153">J117+J118+J119+J120+J122</f>
        <v>0</v>
      </c>
      <c r="K116" s="107">
        <f t="shared" ref="K116" si="154">K117+K118+K119+K120+K122</f>
        <v>0</v>
      </c>
      <c r="L116" s="107">
        <f t="shared" ref="L116" si="155">L117+L118+L119+L120+L122</f>
        <v>0</v>
      </c>
      <c r="M116" s="107">
        <f t="shared" ref="M116" si="156">M117+M118+M119+M120+M122</f>
        <v>62</v>
      </c>
      <c r="N116" s="107">
        <f t="shared" ref="N116" si="157">N117+N118+N119+N120+N122</f>
        <v>0</v>
      </c>
      <c r="O116" s="107">
        <f t="shared" ref="O116" si="158">O117+O118+O119+O120+O122</f>
        <v>0</v>
      </c>
      <c r="P116" s="107">
        <f t="shared" ref="P116" si="159">P117+P118+P119+P120+P122</f>
        <v>0</v>
      </c>
      <c r="Q116" s="107">
        <f t="shared" ref="Q116" si="160">Q117+Q118+Q119+Q120+Q122</f>
        <v>0</v>
      </c>
      <c r="R116" s="172"/>
    </row>
    <row r="117" spans="1:18" s="17" customFormat="1" ht="40.5" customHeight="1" x14ac:dyDescent="0.4">
      <c r="A117" s="219"/>
      <c r="B117" s="221"/>
      <c r="C117" s="242"/>
      <c r="D117" s="137" t="s">
        <v>6</v>
      </c>
      <c r="E117" s="108">
        <f>SUM(F117:Q117)</f>
        <v>0</v>
      </c>
      <c r="F117" s="109">
        <v>0</v>
      </c>
      <c r="G117" s="112"/>
      <c r="H117" s="109"/>
      <c r="I117" s="109"/>
      <c r="J117" s="109"/>
      <c r="K117" s="109"/>
      <c r="L117" s="109"/>
      <c r="M117" s="109"/>
      <c r="N117" s="109"/>
      <c r="O117" s="109"/>
      <c r="P117" s="109"/>
      <c r="Q117" s="112"/>
      <c r="R117" s="172"/>
    </row>
    <row r="118" spans="1:18" s="17" customFormat="1" ht="48.75" customHeight="1" x14ac:dyDescent="0.4">
      <c r="A118" s="219"/>
      <c r="B118" s="221"/>
      <c r="C118" s="242"/>
      <c r="D118" s="137" t="s">
        <v>7</v>
      </c>
      <c r="E118" s="108">
        <f t="shared" ref="E118:E122" si="161">SUM(F118:Q118)</f>
        <v>0</v>
      </c>
      <c r="F118" s="109">
        <v>0</v>
      </c>
      <c r="G118" s="112"/>
      <c r="H118" s="109"/>
      <c r="I118" s="109"/>
      <c r="J118" s="109"/>
      <c r="K118" s="109"/>
      <c r="L118" s="109"/>
      <c r="M118" s="109"/>
      <c r="N118" s="109"/>
      <c r="O118" s="109"/>
      <c r="P118" s="109"/>
      <c r="Q118" s="112"/>
      <c r="R118" s="172"/>
    </row>
    <row r="119" spans="1:18" s="17" customFormat="1" ht="33" customHeight="1" x14ac:dyDescent="0.4">
      <c r="A119" s="219"/>
      <c r="B119" s="221"/>
      <c r="C119" s="242"/>
      <c r="D119" s="137" t="s">
        <v>1</v>
      </c>
      <c r="E119" s="108">
        <f t="shared" si="161"/>
        <v>120</v>
      </c>
      <c r="F119" s="109">
        <v>0</v>
      </c>
      <c r="G119" s="112">
        <v>41.5</v>
      </c>
      <c r="H119" s="109">
        <v>16.5</v>
      </c>
      <c r="I119" s="109"/>
      <c r="J119" s="109"/>
      <c r="K119" s="109"/>
      <c r="L119" s="109"/>
      <c r="M119" s="109">
        <v>62</v>
      </c>
      <c r="N119" s="109"/>
      <c r="O119" s="109"/>
      <c r="P119" s="109"/>
      <c r="Q119" s="112"/>
      <c r="R119" s="172">
        <v>120</v>
      </c>
    </row>
    <row r="120" spans="1:18" s="17" customFormat="1" ht="48" customHeight="1" x14ac:dyDescent="0.4">
      <c r="A120" s="219"/>
      <c r="B120" s="221"/>
      <c r="C120" s="242"/>
      <c r="D120" s="137" t="s">
        <v>2</v>
      </c>
      <c r="E120" s="108">
        <f t="shared" si="161"/>
        <v>0</v>
      </c>
      <c r="F120" s="109">
        <v>0</v>
      </c>
      <c r="G120" s="109">
        <v>0</v>
      </c>
      <c r="H120" s="109">
        <v>0</v>
      </c>
      <c r="I120" s="109">
        <v>0</v>
      </c>
      <c r="J120" s="109">
        <v>0</v>
      </c>
      <c r="K120" s="109">
        <v>0</v>
      </c>
      <c r="L120" s="109">
        <v>0</v>
      </c>
      <c r="M120" s="109">
        <v>0</v>
      </c>
      <c r="N120" s="109">
        <v>0</v>
      </c>
      <c r="O120" s="109">
        <v>0</v>
      </c>
      <c r="P120" s="109">
        <v>0</v>
      </c>
      <c r="Q120" s="109">
        <v>0</v>
      </c>
      <c r="R120" s="172"/>
    </row>
    <row r="121" spans="1:18" s="17" customFormat="1" ht="30" customHeight="1" x14ac:dyDescent="0.4">
      <c r="A121" s="219"/>
      <c r="B121" s="221"/>
      <c r="C121" s="242"/>
      <c r="D121" s="134" t="s">
        <v>72</v>
      </c>
      <c r="E121" s="108">
        <f t="shared" si="161"/>
        <v>0</v>
      </c>
      <c r="F121" s="109">
        <v>0</v>
      </c>
      <c r="G121" s="109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0</v>
      </c>
      <c r="P121" s="109">
        <v>0</v>
      </c>
      <c r="Q121" s="109">
        <v>0</v>
      </c>
      <c r="R121" s="172"/>
    </row>
    <row r="122" spans="1:18" s="17" customFormat="1" ht="36" customHeight="1" x14ac:dyDescent="0.4">
      <c r="A122" s="237"/>
      <c r="B122" s="221"/>
      <c r="C122" s="242"/>
      <c r="D122" s="137" t="s">
        <v>4</v>
      </c>
      <c r="E122" s="108">
        <f t="shared" si="161"/>
        <v>0</v>
      </c>
      <c r="F122" s="109">
        <v>0</v>
      </c>
      <c r="G122" s="109">
        <v>0</v>
      </c>
      <c r="H122" s="109">
        <v>0</v>
      </c>
      <c r="I122" s="109">
        <v>0</v>
      </c>
      <c r="J122" s="109">
        <v>0</v>
      </c>
      <c r="K122" s="109">
        <v>0</v>
      </c>
      <c r="L122" s="109">
        <v>0</v>
      </c>
      <c r="M122" s="109">
        <v>0</v>
      </c>
      <c r="N122" s="109">
        <v>0</v>
      </c>
      <c r="O122" s="109">
        <v>0</v>
      </c>
      <c r="P122" s="109">
        <v>0</v>
      </c>
      <c r="Q122" s="109">
        <v>0</v>
      </c>
      <c r="R122" s="172"/>
    </row>
    <row r="123" spans="1:18" s="17" customFormat="1" ht="43.5" customHeight="1" x14ac:dyDescent="0.4">
      <c r="A123" s="218" t="s">
        <v>92</v>
      </c>
      <c r="B123" s="221"/>
      <c r="C123" s="242" t="s">
        <v>78</v>
      </c>
      <c r="D123" s="136" t="s">
        <v>0</v>
      </c>
      <c r="E123" s="106">
        <f>SUM(F123:Q123)</f>
        <v>205</v>
      </c>
      <c r="F123" s="107">
        <f>F124+F125+F126+F127+F129</f>
        <v>0</v>
      </c>
      <c r="G123" s="107">
        <f t="shared" ref="G123" si="162">G124+G125+G126+G127+G129</f>
        <v>0</v>
      </c>
      <c r="H123" s="107">
        <f t="shared" ref="H123" si="163">H124+H125+H126+H127+H129</f>
        <v>0</v>
      </c>
      <c r="I123" s="107">
        <f t="shared" ref="I123" si="164">I124+I125+I126+I127+I129</f>
        <v>0</v>
      </c>
      <c r="J123" s="107">
        <f t="shared" ref="J123" si="165">J124+J125+J126+J127+J129</f>
        <v>70</v>
      </c>
      <c r="K123" s="107">
        <f t="shared" ref="K123" si="166">K124+K125+K126+K127+K129</f>
        <v>0</v>
      </c>
      <c r="L123" s="107">
        <f t="shared" ref="L123" si="167">L124+L125+L126+L127+L129</f>
        <v>0</v>
      </c>
      <c r="M123" s="107">
        <f t="shared" ref="M123" si="168">M124+M125+M126+M127+M129</f>
        <v>0</v>
      </c>
      <c r="N123" s="107">
        <f t="shared" ref="N123" si="169">N124+N125+N126+N127+N129</f>
        <v>0</v>
      </c>
      <c r="O123" s="107">
        <f t="shared" ref="O123" si="170">O124+O125+O126+O127+O129</f>
        <v>105</v>
      </c>
      <c r="P123" s="107">
        <f t="shared" ref="P123" si="171">P124+P125+P126+P127+P129</f>
        <v>30</v>
      </c>
      <c r="Q123" s="107">
        <f t="shared" ref="Q123" si="172">Q124+Q125+Q126+Q127+Q129</f>
        <v>0</v>
      </c>
      <c r="R123" s="172"/>
    </row>
    <row r="124" spans="1:18" s="17" customFormat="1" ht="45" customHeight="1" x14ac:dyDescent="0.4">
      <c r="A124" s="219"/>
      <c r="B124" s="221"/>
      <c r="C124" s="242"/>
      <c r="D124" s="137" t="s">
        <v>6</v>
      </c>
      <c r="E124" s="108">
        <f>SUM(F124:Q124)</f>
        <v>0</v>
      </c>
      <c r="F124" s="109">
        <v>0</v>
      </c>
      <c r="G124" s="112"/>
      <c r="H124" s="109"/>
      <c r="I124" s="109"/>
      <c r="J124" s="109"/>
      <c r="K124" s="109"/>
      <c r="L124" s="109"/>
      <c r="M124" s="109"/>
      <c r="N124" s="109"/>
      <c r="O124" s="109"/>
      <c r="P124" s="109"/>
      <c r="Q124" s="112"/>
      <c r="R124" s="172"/>
    </row>
    <row r="125" spans="1:18" s="17" customFormat="1" ht="39" customHeight="1" x14ac:dyDescent="0.4">
      <c r="A125" s="219"/>
      <c r="B125" s="221"/>
      <c r="C125" s="242"/>
      <c r="D125" s="137" t="s">
        <v>7</v>
      </c>
      <c r="E125" s="108">
        <f t="shared" ref="E125:E129" si="173">SUM(F125:Q125)</f>
        <v>0</v>
      </c>
      <c r="F125" s="109">
        <v>0</v>
      </c>
      <c r="G125" s="112"/>
      <c r="H125" s="109"/>
      <c r="I125" s="109"/>
      <c r="J125" s="109"/>
      <c r="K125" s="109"/>
      <c r="L125" s="109"/>
      <c r="M125" s="109"/>
      <c r="N125" s="109"/>
      <c r="O125" s="109"/>
      <c r="P125" s="109"/>
      <c r="Q125" s="112"/>
      <c r="R125" s="172"/>
    </row>
    <row r="126" spans="1:18" s="17" customFormat="1" ht="39" customHeight="1" x14ac:dyDescent="0.4">
      <c r="A126" s="219"/>
      <c r="B126" s="221"/>
      <c r="C126" s="242"/>
      <c r="D126" s="137" t="s">
        <v>1</v>
      </c>
      <c r="E126" s="108">
        <f t="shared" si="173"/>
        <v>205</v>
      </c>
      <c r="F126" s="109">
        <v>0</v>
      </c>
      <c r="G126" s="112">
        <v>0</v>
      </c>
      <c r="H126" s="109">
        <v>0</v>
      </c>
      <c r="I126" s="109">
        <v>0</v>
      </c>
      <c r="J126" s="109">
        <v>70</v>
      </c>
      <c r="K126" s="109"/>
      <c r="L126" s="109"/>
      <c r="M126" s="109"/>
      <c r="N126" s="109"/>
      <c r="O126" s="109">
        <v>105</v>
      </c>
      <c r="P126" s="109">
        <v>30</v>
      </c>
      <c r="Q126" s="112"/>
      <c r="R126" s="172">
        <v>205</v>
      </c>
    </row>
    <row r="127" spans="1:18" s="17" customFormat="1" ht="50.25" customHeight="1" x14ac:dyDescent="0.4">
      <c r="A127" s="219"/>
      <c r="B127" s="221"/>
      <c r="C127" s="242"/>
      <c r="D127" s="137" t="s">
        <v>2</v>
      </c>
      <c r="E127" s="108">
        <f t="shared" si="173"/>
        <v>0</v>
      </c>
      <c r="F127" s="109">
        <v>0</v>
      </c>
      <c r="G127" s="112"/>
      <c r="H127" s="109"/>
      <c r="I127" s="109"/>
      <c r="J127" s="109"/>
      <c r="K127" s="109"/>
      <c r="L127" s="109"/>
      <c r="M127" s="109"/>
      <c r="N127" s="109"/>
      <c r="O127" s="109"/>
      <c r="P127" s="109"/>
      <c r="Q127" s="112"/>
      <c r="R127" s="172"/>
    </row>
    <row r="128" spans="1:18" s="17" customFormat="1" ht="31.5" customHeight="1" x14ac:dyDescent="0.4">
      <c r="A128" s="219"/>
      <c r="B128" s="221"/>
      <c r="C128" s="242"/>
      <c r="D128" s="134" t="s">
        <v>72</v>
      </c>
      <c r="E128" s="108">
        <f t="shared" si="173"/>
        <v>0</v>
      </c>
      <c r="F128" s="109">
        <v>0</v>
      </c>
      <c r="G128" s="112"/>
      <c r="H128" s="109"/>
      <c r="I128" s="109"/>
      <c r="J128" s="109"/>
      <c r="K128" s="109"/>
      <c r="L128" s="109"/>
      <c r="M128" s="109"/>
      <c r="N128" s="109"/>
      <c r="O128" s="109"/>
      <c r="P128" s="109"/>
      <c r="Q128" s="112"/>
      <c r="R128" s="172"/>
    </row>
    <row r="129" spans="1:19" s="17" customFormat="1" ht="37.5" customHeight="1" x14ac:dyDescent="0.4">
      <c r="A129" s="237"/>
      <c r="B129" s="221"/>
      <c r="C129" s="242"/>
      <c r="D129" s="137" t="s">
        <v>4</v>
      </c>
      <c r="E129" s="108">
        <f t="shared" si="173"/>
        <v>0</v>
      </c>
      <c r="F129" s="109">
        <v>0</v>
      </c>
      <c r="G129" s="112"/>
      <c r="H129" s="109"/>
      <c r="I129" s="109"/>
      <c r="J129" s="109"/>
      <c r="K129" s="109"/>
      <c r="L129" s="109"/>
      <c r="M129" s="109"/>
      <c r="N129" s="109"/>
      <c r="O129" s="109"/>
      <c r="P129" s="109"/>
      <c r="Q129" s="112"/>
      <c r="R129" s="172"/>
    </row>
    <row r="130" spans="1:19" s="17" customFormat="1" ht="34.5" customHeight="1" x14ac:dyDescent="0.4">
      <c r="A130" s="218" t="s">
        <v>93</v>
      </c>
      <c r="B130" s="221"/>
      <c r="C130" s="242" t="s">
        <v>74</v>
      </c>
      <c r="D130" s="136" t="s">
        <v>0</v>
      </c>
      <c r="E130" s="106">
        <f>SUM(F130:Q130)</f>
        <v>60</v>
      </c>
      <c r="F130" s="107">
        <f>F131+F132+F133+F134+F136</f>
        <v>0</v>
      </c>
      <c r="G130" s="107">
        <f t="shared" ref="G130" si="174">G131+G132+G133+G134+G136</f>
        <v>0</v>
      </c>
      <c r="H130" s="107">
        <f t="shared" ref="H130" si="175">H131+H132+H133+H134+H136</f>
        <v>20</v>
      </c>
      <c r="I130" s="107">
        <f t="shared" ref="I130" si="176">I131+I132+I133+I134+I136</f>
        <v>0</v>
      </c>
      <c r="J130" s="107">
        <f t="shared" ref="J130" si="177">J131+J132+J133+J134+J136</f>
        <v>0</v>
      </c>
      <c r="K130" s="107">
        <f t="shared" ref="K130" si="178">K131+K132+K133+K134+K136</f>
        <v>20</v>
      </c>
      <c r="L130" s="107">
        <f t="shared" ref="L130" si="179">L131+L132+L133+L134+L136</f>
        <v>0</v>
      </c>
      <c r="M130" s="107">
        <f t="shared" ref="M130" si="180">M131+M132+M133+M134+M136</f>
        <v>0</v>
      </c>
      <c r="N130" s="107">
        <f t="shared" ref="N130" si="181">N131+N132+N133+N134+N136</f>
        <v>20</v>
      </c>
      <c r="O130" s="107">
        <f t="shared" ref="O130" si="182">O131+O132+O133+O134+O136</f>
        <v>0</v>
      </c>
      <c r="P130" s="107">
        <f t="shared" ref="P130" si="183">P131+P132+P133+P134+P136</f>
        <v>0</v>
      </c>
      <c r="Q130" s="107">
        <f t="shared" ref="Q130" si="184">Q131+Q132+Q133+Q134+Q136</f>
        <v>0</v>
      </c>
      <c r="R130" s="172"/>
    </row>
    <row r="131" spans="1:19" s="17" customFormat="1" ht="42" customHeight="1" x14ac:dyDescent="0.4">
      <c r="A131" s="219"/>
      <c r="B131" s="221"/>
      <c r="C131" s="242"/>
      <c r="D131" s="137" t="s">
        <v>6</v>
      </c>
      <c r="E131" s="108">
        <f>SUM(F131:Q131)</f>
        <v>0</v>
      </c>
      <c r="F131" s="109">
        <v>0</v>
      </c>
      <c r="G131" s="112"/>
      <c r="H131" s="109"/>
      <c r="I131" s="109"/>
      <c r="J131" s="109"/>
      <c r="K131" s="109"/>
      <c r="L131" s="109"/>
      <c r="M131" s="109"/>
      <c r="N131" s="109"/>
      <c r="O131" s="109"/>
      <c r="P131" s="109"/>
      <c r="Q131" s="112"/>
      <c r="R131" s="172"/>
    </row>
    <row r="132" spans="1:19" s="17" customFormat="1" ht="49.5" customHeight="1" x14ac:dyDescent="0.4">
      <c r="A132" s="219"/>
      <c r="B132" s="221"/>
      <c r="C132" s="242"/>
      <c r="D132" s="137" t="s">
        <v>7</v>
      </c>
      <c r="E132" s="108">
        <f t="shared" ref="E132:E136" si="185">SUM(F132:Q132)</f>
        <v>0</v>
      </c>
      <c r="F132" s="109">
        <v>0</v>
      </c>
      <c r="G132" s="112"/>
      <c r="H132" s="109"/>
      <c r="I132" s="109"/>
      <c r="J132" s="109"/>
      <c r="K132" s="109"/>
      <c r="L132" s="109"/>
      <c r="M132" s="109"/>
      <c r="N132" s="109"/>
      <c r="O132" s="109"/>
      <c r="P132" s="109"/>
      <c r="Q132" s="112"/>
      <c r="R132" s="172"/>
    </row>
    <row r="133" spans="1:19" s="17" customFormat="1" ht="34.5" customHeight="1" x14ac:dyDescent="0.4">
      <c r="A133" s="219"/>
      <c r="B133" s="221"/>
      <c r="C133" s="242"/>
      <c r="D133" s="137" t="s">
        <v>1</v>
      </c>
      <c r="E133" s="108">
        <f t="shared" si="185"/>
        <v>60</v>
      </c>
      <c r="F133" s="109">
        <v>0</v>
      </c>
      <c r="G133" s="112">
        <v>0</v>
      </c>
      <c r="H133" s="109">
        <v>20</v>
      </c>
      <c r="I133" s="109"/>
      <c r="J133" s="109"/>
      <c r="K133" s="109">
        <v>20</v>
      </c>
      <c r="L133" s="109"/>
      <c r="M133" s="109"/>
      <c r="N133" s="109">
        <v>20</v>
      </c>
      <c r="O133" s="109">
        <v>0</v>
      </c>
      <c r="P133" s="109">
        <v>0</v>
      </c>
      <c r="Q133" s="112">
        <v>0</v>
      </c>
      <c r="R133" s="172">
        <v>60</v>
      </c>
    </row>
    <row r="134" spans="1:19" s="17" customFormat="1" ht="39.75" customHeight="1" x14ac:dyDescent="0.4">
      <c r="A134" s="219"/>
      <c r="B134" s="221"/>
      <c r="C134" s="242"/>
      <c r="D134" s="137" t="s">
        <v>2</v>
      </c>
      <c r="E134" s="108">
        <f t="shared" si="185"/>
        <v>0</v>
      </c>
      <c r="F134" s="109">
        <v>0</v>
      </c>
      <c r="G134" s="112"/>
      <c r="H134" s="109"/>
      <c r="I134" s="109"/>
      <c r="J134" s="109"/>
      <c r="K134" s="109"/>
      <c r="L134" s="109"/>
      <c r="M134" s="109"/>
      <c r="N134" s="109"/>
      <c r="O134" s="109"/>
      <c r="P134" s="109"/>
      <c r="Q134" s="112"/>
      <c r="R134" s="172"/>
    </row>
    <row r="135" spans="1:19" s="17" customFormat="1" ht="25.5" customHeight="1" x14ac:dyDescent="0.4">
      <c r="A135" s="219"/>
      <c r="B135" s="221"/>
      <c r="C135" s="242"/>
      <c r="D135" s="134" t="s">
        <v>72</v>
      </c>
      <c r="E135" s="108">
        <f t="shared" si="185"/>
        <v>0</v>
      </c>
      <c r="F135" s="109">
        <v>0</v>
      </c>
      <c r="G135" s="112"/>
      <c r="H135" s="109"/>
      <c r="I135" s="109"/>
      <c r="J135" s="109"/>
      <c r="K135" s="109"/>
      <c r="L135" s="109"/>
      <c r="M135" s="109"/>
      <c r="N135" s="109"/>
      <c r="O135" s="109"/>
      <c r="P135" s="109"/>
      <c r="Q135" s="112"/>
      <c r="R135" s="172"/>
    </row>
    <row r="136" spans="1:19" s="17" customFormat="1" ht="31.5" customHeight="1" x14ac:dyDescent="0.4">
      <c r="A136" s="237"/>
      <c r="B136" s="221"/>
      <c r="C136" s="242"/>
      <c r="D136" s="137" t="s">
        <v>4</v>
      </c>
      <c r="E136" s="108">
        <f t="shared" si="185"/>
        <v>0</v>
      </c>
      <c r="F136" s="109">
        <v>0</v>
      </c>
      <c r="G136" s="112"/>
      <c r="H136" s="109"/>
      <c r="I136" s="109"/>
      <c r="J136" s="109"/>
      <c r="K136" s="109"/>
      <c r="L136" s="109"/>
      <c r="M136" s="109"/>
      <c r="N136" s="109"/>
      <c r="O136" s="109"/>
      <c r="P136" s="109"/>
      <c r="Q136" s="112"/>
      <c r="R136" s="172"/>
    </row>
    <row r="137" spans="1:19" s="17" customFormat="1" ht="39" customHeight="1" x14ac:dyDescent="0.4">
      <c r="A137" s="218" t="s">
        <v>94</v>
      </c>
      <c r="B137" s="221"/>
      <c r="C137" s="229" t="s">
        <v>79</v>
      </c>
      <c r="D137" s="136" t="s">
        <v>0</v>
      </c>
      <c r="E137" s="106">
        <f>SUM(F137:Q137)</f>
        <v>100</v>
      </c>
      <c r="F137" s="107">
        <f>F138+F139+F140+F141+F143</f>
        <v>0</v>
      </c>
      <c r="G137" s="107">
        <f t="shared" ref="G137" si="186">G138+G139+G140+G141+G143</f>
        <v>0</v>
      </c>
      <c r="H137" s="107">
        <f t="shared" ref="H137" si="187">H138+H139+H140+H141+H143</f>
        <v>0</v>
      </c>
      <c r="I137" s="107">
        <f t="shared" ref="I137" si="188">I138+I139+I140+I141+I143</f>
        <v>0</v>
      </c>
      <c r="J137" s="107">
        <f t="shared" ref="J137" si="189">J138+J139+J140+J141+J143</f>
        <v>30</v>
      </c>
      <c r="K137" s="107">
        <f t="shared" ref="K137" si="190">K138+K139+K140+K141+K143</f>
        <v>0</v>
      </c>
      <c r="L137" s="107">
        <f t="shared" ref="L137" si="191">L138+L139+L140+L141+L143</f>
        <v>0</v>
      </c>
      <c r="M137" s="107">
        <f t="shared" ref="M137" si="192">M138+M139+M140+M141+M143</f>
        <v>0</v>
      </c>
      <c r="N137" s="107">
        <f t="shared" ref="N137" si="193">N138+N139+N140+N141+N143</f>
        <v>30</v>
      </c>
      <c r="O137" s="107">
        <f t="shared" ref="O137" si="194">O138+O139+O140+O141+O143</f>
        <v>20</v>
      </c>
      <c r="P137" s="107">
        <f t="shared" ref="P137" si="195">P138+P139+P140+P141+P143</f>
        <v>20</v>
      </c>
      <c r="Q137" s="107">
        <f t="shared" ref="Q137" si="196">Q138+Q139+Q140+Q141+Q143</f>
        <v>0</v>
      </c>
      <c r="R137" s="172"/>
    </row>
    <row r="138" spans="1:19" s="17" customFormat="1" ht="36" customHeight="1" x14ac:dyDescent="0.4">
      <c r="A138" s="219"/>
      <c r="B138" s="221"/>
      <c r="C138" s="230"/>
      <c r="D138" s="137" t="s">
        <v>6</v>
      </c>
      <c r="E138" s="108">
        <f>SUM(F138:Q138)</f>
        <v>0</v>
      </c>
      <c r="F138" s="109">
        <v>0</v>
      </c>
      <c r="G138" s="112"/>
      <c r="H138" s="109"/>
      <c r="I138" s="109"/>
      <c r="J138" s="109"/>
      <c r="K138" s="109"/>
      <c r="L138" s="109"/>
      <c r="M138" s="109"/>
      <c r="N138" s="109"/>
      <c r="O138" s="109"/>
      <c r="P138" s="109"/>
      <c r="Q138" s="112"/>
      <c r="R138" s="172"/>
    </row>
    <row r="139" spans="1:19" s="17" customFormat="1" ht="46.5" customHeight="1" x14ac:dyDescent="0.4">
      <c r="A139" s="219"/>
      <c r="B139" s="221"/>
      <c r="C139" s="230"/>
      <c r="D139" s="137" t="s">
        <v>7</v>
      </c>
      <c r="E139" s="108">
        <f t="shared" ref="E139:E143" si="197">SUM(F139:Q139)</f>
        <v>0</v>
      </c>
      <c r="F139" s="109">
        <v>0</v>
      </c>
      <c r="G139" s="112"/>
      <c r="H139" s="109"/>
      <c r="I139" s="109"/>
      <c r="J139" s="109"/>
      <c r="K139" s="109"/>
      <c r="L139" s="109"/>
      <c r="M139" s="109"/>
      <c r="N139" s="109"/>
      <c r="O139" s="109"/>
      <c r="P139" s="109"/>
      <c r="Q139" s="112"/>
      <c r="R139" s="172"/>
    </row>
    <row r="140" spans="1:19" s="17" customFormat="1" ht="45" customHeight="1" x14ac:dyDescent="0.4">
      <c r="A140" s="219"/>
      <c r="B140" s="221"/>
      <c r="C140" s="230"/>
      <c r="D140" s="137" t="s">
        <v>1</v>
      </c>
      <c r="E140" s="108">
        <f t="shared" si="197"/>
        <v>100</v>
      </c>
      <c r="F140" s="109"/>
      <c r="G140" s="112">
        <v>0</v>
      </c>
      <c r="H140" s="109"/>
      <c r="I140" s="109"/>
      <c r="J140" s="109">
        <v>30</v>
      </c>
      <c r="K140" s="109"/>
      <c r="L140" s="109"/>
      <c r="M140" s="109"/>
      <c r="N140" s="109">
        <v>30</v>
      </c>
      <c r="O140" s="109">
        <v>20</v>
      </c>
      <c r="P140" s="109">
        <v>20</v>
      </c>
      <c r="Q140" s="112"/>
      <c r="R140" s="172">
        <v>100</v>
      </c>
    </row>
    <row r="141" spans="1:19" s="17" customFormat="1" ht="48" customHeight="1" x14ac:dyDescent="0.4">
      <c r="A141" s="219"/>
      <c r="B141" s="221"/>
      <c r="C141" s="230"/>
      <c r="D141" s="137" t="s">
        <v>2</v>
      </c>
      <c r="E141" s="108">
        <f t="shared" si="197"/>
        <v>0</v>
      </c>
      <c r="F141" s="109">
        <v>0</v>
      </c>
      <c r="G141" s="112"/>
      <c r="H141" s="109"/>
      <c r="I141" s="109"/>
      <c r="J141" s="109"/>
      <c r="K141" s="109"/>
      <c r="L141" s="109"/>
      <c r="M141" s="109"/>
      <c r="N141" s="109"/>
      <c r="O141" s="109"/>
      <c r="P141" s="109"/>
      <c r="Q141" s="112"/>
      <c r="R141" s="172"/>
    </row>
    <row r="142" spans="1:19" s="17" customFormat="1" ht="34.5" customHeight="1" x14ac:dyDescent="0.4">
      <c r="A142" s="219"/>
      <c r="B142" s="221"/>
      <c r="C142" s="230"/>
      <c r="D142" s="134" t="s">
        <v>72</v>
      </c>
      <c r="E142" s="108">
        <f t="shared" si="197"/>
        <v>0</v>
      </c>
      <c r="F142" s="109">
        <v>0</v>
      </c>
      <c r="G142" s="112"/>
      <c r="H142" s="109"/>
      <c r="I142" s="109"/>
      <c r="J142" s="109"/>
      <c r="K142" s="109"/>
      <c r="L142" s="109"/>
      <c r="M142" s="109"/>
      <c r="N142" s="109"/>
      <c r="O142" s="109"/>
      <c r="P142" s="109"/>
      <c r="Q142" s="112"/>
      <c r="R142" s="172"/>
    </row>
    <row r="143" spans="1:19" s="17" customFormat="1" ht="33" customHeight="1" thickBot="1" x14ac:dyDescent="0.45">
      <c r="A143" s="237"/>
      <c r="B143" s="221"/>
      <c r="C143" s="230"/>
      <c r="D143" s="137" t="s">
        <v>4</v>
      </c>
      <c r="E143" s="108">
        <f t="shared" si="197"/>
        <v>0</v>
      </c>
      <c r="F143" s="109">
        <v>0</v>
      </c>
      <c r="G143" s="112"/>
      <c r="H143" s="109"/>
      <c r="I143" s="109"/>
      <c r="J143" s="109"/>
      <c r="K143" s="109"/>
      <c r="L143" s="109"/>
      <c r="M143" s="109"/>
      <c r="N143" s="109"/>
      <c r="O143" s="109"/>
      <c r="P143" s="109"/>
      <c r="Q143" s="112"/>
      <c r="R143" s="172"/>
    </row>
    <row r="144" spans="1:19" s="17" customFormat="1" ht="36" customHeight="1" x14ac:dyDescent="0.4">
      <c r="A144" s="218" t="s">
        <v>95</v>
      </c>
      <c r="B144" s="221"/>
      <c r="C144" s="242" t="s">
        <v>75</v>
      </c>
      <c r="D144" s="136" t="s">
        <v>0</v>
      </c>
      <c r="E144" s="106">
        <f>SUM(F144:Q144)</f>
        <v>0</v>
      </c>
      <c r="F144" s="107">
        <f>F145+F146+F147+F148+F150</f>
        <v>0</v>
      </c>
      <c r="G144" s="107">
        <f t="shared" ref="G144" si="198">G145+G146+G147+G148+G150</f>
        <v>0</v>
      </c>
      <c r="H144" s="107">
        <f t="shared" ref="H144" si="199">H145+H146+H147+H148+H150</f>
        <v>0</v>
      </c>
      <c r="I144" s="107">
        <f t="shared" ref="I144" si="200">I145+I146+I147+I148+I150</f>
        <v>0</v>
      </c>
      <c r="J144" s="107">
        <f t="shared" ref="J144" si="201">J145+J146+J147+J148+J150</f>
        <v>0</v>
      </c>
      <c r="K144" s="107">
        <f t="shared" ref="K144" si="202">K145+K146+K147+K148+K150</f>
        <v>0</v>
      </c>
      <c r="L144" s="107">
        <f t="shared" ref="L144" si="203">L145+L146+L147+L148+L150</f>
        <v>0</v>
      </c>
      <c r="M144" s="107">
        <f t="shared" ref="M144" si="204">M145+M146+M147+M148+M150</f>
        <v>0</v>
      </c>
      <c r="N144" s="107">
        <f t="shared" ref="N144" si="205">N145+N146+N147+N148+N150</f>
        <v>0</v>
      </c>
      <c r="O144" s="107">
        <f t="shared" ref="O144" si="206">O145+O146+O147+O148+O150</f>
        <v>0</v>
      </c>
      <c r="P144" s="107">
        <f t="shared" ref="P144" si="207">P145+P146+P147+P148+P150</f>
        <v>0</v>
      </c>
      <c r="Q144" s="148">
        <f t="shared" ref="Q144" si="208">Q145+Q146+Q147+Q148+Q150</f>
        <v>0</v>
      </c>
      <c r="R144" s="176"/>
      <c r="S144" s="140"/>
    </row>
    <row r="145" spans="1:19" s="17" customFormat="1" ht="31.5" customHeight="1" x14ac:dyDescent="0.4">
      <c r="A145" s="219"/>
      <c r="B145" s="221"/>
      <c r="C145" s="242"/>
      <c r="D145" s="137" t="s">
        <v>6</v>
      </c>
      <c r="E145" s="108">
        <f>SUM(F145:Q145)</f>
        <v>0</v>
      </c>
      <c r="F145" s="109">
        <v>0</v>
      </c>
      <c r="G145" s="112"/>
      <c r="H145" s="109"/>
      <c r="I145" s="109"/>
      <c r="J145" s="109"/>
      <c r="K145" s="109"/>
      <c r="L145" s="109"/>
      <c r="M145" s="109"/>
      <c r="N145" s="109"/>
      <c r="O145" s="109"/>
      <c r="P145" s="109"/>
      <c r="Q145" s="150"/>
      <c r="R145" s="173"/>
      <c r="S145" s="141"/>
    </row>
    <row r="146" spans="1:19" s="17" customFormat="1" ht="41.25" customHeight="1" x14ac:dyDescent="0.4">
      <c r="A146" s="219"/>
      <c r="B146" s="221"/>
      <c r="C146" s="242"/>
      <c r="D146" s="137" t="s">
        <v>7</v>
      </c>
      <c r="E146" s="108">
        <f t="shared" ref="E146:E150" si="209">SUM(F146:Q146)</f>
        <v>0</v>
      </c>
      <c r="F146" s="109">
        <v>0</v>
      </c>
      <c r="G146" s="112"/>
      <c r="H146" s="109"/>
      <c r="I146" s="109"/>
      <c r="J146" s="109"/>
      <c r="K146" s="109"/>
      <c r="L146" s="109"/>
      <c r="M146" s="109"/>
      <c r="N146" s="109"/>
      <c r="O146" s="109"/>
      <c r="P146" s="109"/>
      <c r="Q146" s="150"/>
      <c r="R146" s="173"/>
      <c r="S146" s="141"/>
    </row>
    <row r="147" spans="1:19" s="17" customFormat="1" ht="31.5" customHeight="1" x14ac:dyDescent="0.4">
      <c r="A147" s="219"/>
      <c r="B147" s="221"/>
      <c r="C147" s="242"/>
      <c r="D147" s="137" t="s">
        <v>1</v>
      </c>
      <c r="E147" s="108">
        <f t="shared" si="209"/>
        <v>0</v>
      </c>
      <c r="F147" s="109">
        <v>0</v>
      </c>
      <c r="G147" s="112"/>
      <c r="H147" s="109"/>
      <c r="I147" s="109"/>
      <c r="J147" s="109"/>
      <c r="K147" s="109"/>
      <c r="L147" s="109"/>
      <c r="M147" s="109"/>
      <c r="N147" s="109"/>
      <c r="O147" s="109"/>
      <c r="P147" s="109"/>
      <c r="Q147" s="150"/>
      <c r="R147" s="173"/>
      <c r="S147" s="141"/>
    </row>
    <row r="148" spans="1:19" s="17" customFormat="1" ht="51.75" customHeight="1" x14ac:dyDescent="0.4">
      <c r="A148" s="219"/>
      <c r="B148" s="221"/>
      <c r="C148" s="242"/>
      <c r="D148" s="137" t="s">
        <v>2</v>
      </c>
      <c r="E148" s="108">
        <f t="shared" si="209"/>
        <v>0</v>
      </c>
      <c r="F148" s="109">
        <v>0</v>
      </c>
      <c r="G148" s="112"/>
      <c r="H148" s="109"/>
      <c r="I148" s="109"/>
      <c r="J148" s="109"/>
      <c r="K148" s="109"/>
      <c r="L148" s="109"/>
      <c r="M148" s="109"/>
      <c r="N148" s="109"/>
      <c r="O148" s="109"/>
      <c r="P148" s="109"/>
      <c r="Q148" s="150"/>
      <c r="R148" s="173"/>
      <c r="S148" s="141"/>
    </row>
    <row r="149" spans="1:19" s="17" customFormat="1" ht="28.5" customHeight="1" x14ac:dyDescent="0.4">
      <c r="A149" s="219"/>
      <c r="B149" s="221"/>
      <c r="C149" s="242"/>
      <c r="D149" s="134" t="s">
        <v>72</v>
      </c>
      <c r="E149" s="108">
        <f t="shared" si="209"/>
        <v>0</v>
      </c>
      <c r="F149" s="109">
        <v>0</v>
      </c>
      <c r="G149" s="112"/>
      <c r="H149" s="109"/>
      <c r="I149" s="109"/>
      <c r="J149" s="109"/>
      <c r="K149" s="109"/>
      <c r="L149" s="109"/>
      <c r="M149" s="109"/>
      <c r="N149" s="109"/>
      <c r="O149" s="109"/>
      <c r="P149" s="109"/>
      <c r="Q149" s="150"/>
      <c r="R149" s="173"/>
      <c r="S149" s="141"/>
    </row>
    <row r="150" spans="1:19" s="17" customFormat="1" ht="39" customHeight="1" thickBot="1" x14ac:dyDescent="0.55000000000000004">
      <c r="A150" s="237"/>
      <c r="B150" s="226"/>
      <c r="C150" s="242"/>
      <c r="D150" s="137" t="s">
        <v>4</v>
      </c>
      <c r="E150" s="108">
        <f t="shared" si="209"/>
        <v>0</v>
      </c>
      <c r="F150" s="109">
        <v>0</v>
      </c>
      <c r="G150" s="109">
        <v>0</v>
      </c>
      <c r="H150" s="109">
        <v>0</v>
      </c>
      <c r="I150" s="109">
        <v>0</v>
      </c>
      <c r="J150" s="109">
        <v>0</v>
      </c>
      <c r="K150" s="109">
        <v>0</v>
      </c>
      <c r="L150" s="109">
        <v>0</v>
      </c>
      <c r="M150" s="109">
        <f>50-50</f>
        <v>0</v>
      </c>
      <c r="N150" s="109">
        <v>0</v>
      </c>
      <c r="O150" s="109">
        <v>0</v>
      </c>
      <c r="P150" s="109">
        <v>0</v>
      </c>
      <c r="Q150" s="150">
        <v>0</v>
      </c>
      <c r="R150" s="171"/>
      <c r="S150" s="151"/>
    </row>
    <row r="151" spans="1:19" s="17" customFormat="1" ht="39" customHeight="1" x14ac:dyDescent="0.4">
      <c r="A151" s="210" t="s">
        <v>45</v>
      </c>
      <c r="B151" s="203" t="s">
        <v>70</v>
      </c>
      <c r="C151" s="234" t="s">
        <v>76</v>
      </c>
      <c r="D151" s="104" t="s">
        <v>0</v>
      </c>
      <c r="E151" s="107">
        <f>SUM(F151:Q151)</f>
        <v>64.95</v>
      </c>
      <c r="F151" s="107">
        <f>F152+F153+F154+F155+F157</f>
        <v>0</v>
      </c>
      <c r="G151" s="107">
        <f t="shared" ref="G151" si="210">G152+G153+G154+G155+G157</f>
        <v>0</v>
      </c>
      <c r="H151" s="107">
        <f t="shared" ref="H151" si="211">H152+H153+H154+H155+H157</f>
        <v>0</v>
      </c>
      <c r="I151" s="107">
        <f t="shared" ref="I151" si="212">I152+I153+I154+I155+I157</f>
        <v>0</v>
      </c>
      <c r="J151" s="107">
        <f t="shared" ref="J151" si="213">J152+J153+J154+J155+J157</f>
        <v>0</v>
      </c>
      <c r="K151" s="107">
        <f t="shared" ref="K151" si="214">K152+K153+K154+K155+K157</f>
        <v>0</v>
      </c>
      <c r="L151" s="107">
        <f t="shared" ref="L151" si="215">L152+L153+L154+L155+L157</f>
        <v>0</v>
      </c>
      <c r="M151" s="107">
        <f t="shared" ref="M151" si="216">M152+M153+M154+M155+M157</f>
        <v>0</v>
      </c>
      <c r="N151" s="107">
        <f t="shared" ref="N151" si="217">N152+N153+N154+N155+N157</f>
        <v>64.95</v>
      </c>
      <c r="O151" s="107">
        <f t="shared" ref="O151" si="218">O152+O153+O154+O155+O157</f>
        <v>0</v>
      </c>
      <c r="P151" s="107">
        <f t="shared" ref="P151" si="219">P152+P153+P154+P155+P157</f>
        <v>0</v>
      </c>
      <c r="Q151" s="107">
        <f t="shared" ref="Q151" si="220">Q152+Q153+Q154+Q155+Q157</f>
        <v>0</v>
      </c>
      <c r="R151" s="172"/>
    </row>
    <row r="152" spans="1:19" s="17" customFormat="1" ht="39" customHeight="1" x14ac:dyDescent="0.4">
      <c r="A152" s="210"/>
      <c r="B152" s="203"/>
      <c r="C152" s="234"/>
      <c r="D152" s="103" t="s">
        <v>6</v>
      </c>
      <c r="E152" s="123">
        <f>SUM(F152:Q152)</f>
        <v>0</v>
      </c>
      <c r="F152" s="109">
        <v>0</v>
      </c>
      <c r="G152" s="109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0</v>
      </c>
      <c r="M152" s="109">
        <v>0</v>
      </c>
      <c r="N152" s="109">
        <v>0</v>
      </c>
      <c r="O152" s="109">
        <v>0</v>
      </c>
      <c r="P152" s="109">
        <v>0</v>
      </c>
      <c r="Q152" s="109">
        <v>0</v>
      </c>
      <c r="R152" s="172"/>
    </row>
    <row r="153" spans="1:19" s="17" customFormat="1" ht="39.75" customHeight="1" x14ac:dyDescent="0.4">
      <c r="A153" s="210"/>
      <c r="B153" s="203"/>
      <c r="C153" s="234"/>
      <c r="D153" s="103" t="s">
        <v>7</v>
      </c>
      <c r="E153" s="123">
        <f t="shared" ref="E153:E157" si="221">SUM(F153:Q153)</f>
        <v>0</v>
      </c>
      <c r="F153" s="109">
        <v>0</v>
      </c>
      <c r="G153" s="109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0</v>
      </c>
      <c r="M153" s="112">
        <v>0</v>
      </c>
      <c r="N153" s="112">
        <v>0</v>
      </c>
      <c r="O153" s="112">
        <v>0</v>
      </c>
      <c r="P153" s="109">
        <v>0</v>
      </c>
      <c r="Q153" s="109">
        <v>0</v>
      </c>
      <c r="R153" s="172"/>
    </row>
    <row r="154" spans="1:19" s="17" customFormat="1" ht="28.5" customHeight="1" x14ac:dyDescent="0.4">
      <c r="A154" s="210"/>
      <c r="B154" s="203"/>
      <c r="C154" s="234"/>
      <c r="D154" s="103" t="s">
        <v>1</v>
      </c>
      <c r="E154" s="123">
        <f t="shared" si="221"/>
        <v>64.95</v>
      </c>
      <c r="F154" s="109">
        <v>0</v>
      </c>
      <c r="G154" s="109">
        <v>0</v>
      </c>
      <c r="H154" s="109">
        <v>0</v>
      </c>
      <c r="I154" s="109">
        <v>0</v>
      </c>
      <c r="J154" s="109">
        <v>0</v>
      </c>
      <c r="K154" s="109">
        <v>0</v>
      </c>
      <c r="L154" s="109">
        <v>0</v>
      </c>
      <c r="M154" s="112">
        <v>0</v>
      </c>
      <c r="N154" s="112">
        <v>64.95</v>
      </c>
      <c r="O154" s="112">
        <v>0</v>
      </c>
      <c r="P154" s="109">
        <v>0</v>
      </c>
      <c r="Q154" s="109">
        <v>0</v>
      </c>
      <c r="R154" s="172">
        <v>64.95</v>
      </c>
      <c r="S154" s="168">
        <f>R154-E154</f>
        <v>0</v>
      </c>
    </row>
    <row r="155" spans="1:19" s="17" customFormat="1" ht="45" customHeight="1" x14ac:dyDescent="0.4">
      <c r="A155" s="210"/>
      <c r="B155" s="203"/>
      <c r="C155" s="234"/>
      <c r="D155" s="103" t="s">
        <v>2</v>
      </c>
      <c r="E155" s="123">
        <f t="shared" si="221"/>
        <v>0</v>
      </c>
      <c r="F155" s="109">
        <v>0</v>
      </c>
      <c r="G155" s="109">
        <v>0</v>
      </c>
      <c r="H155" s="109">
        <v>0</v>
      </c>
      <c r="I155" s="109">
        <v>0</v>
      </c>
      <c r="J155" s="109">
        <v>0</v>
      </c>
      <c r="K155" s="109">
        <v>0</v>
      </c>
      <c r="L155" s="109">
        <v>0</v>
      </c>
      <c r="M155" s="109">
        <v>0</v>
      </c>
      <c r="N155" s="109">
        <v>0</v>
      </c>
      <c r="O155" s="109">
        <v>0</v>
      </c>
      <c r="P155" s="109">
        <v>0</v>
      </c>
      <c r="Q155" s="109">
        <v>0</v>
      </c>
      <c r="R155" s="172"/>
    </row>
    <row r="156" spans="1:19" s="17" customFormat="1" ht="17.25" customHeight="1" x14ac:dyDescent="0.4">
      <c r="A156" s="210"/>
      <c r="B156" s="203"/>
      <c r="C156" s="234"/>
      <c r="D156" s="40" t="s">
        <v>36</v>
      </c>
      <c r="E156" s="123">
        <f t="shared" si="221"/>
        <v>0</v>
      </c>
      <c r="F156" s="109">
        <v>0</v>
      </c>
      <c r="G156" s="109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0</v>
      </c>
      <c r="O156" s="109">
        <v>0</v>
      </c>
      <c r="P156" s="109">
        <v>0</v>
      </c>
      <c r="Q156" s="109">
        <v>0</v>
      </c>
      <c r="R156" s="172"/>
    </row>
    <row r="157" spans="1:19" s="17" customFormat="1" ht="28.5" customHeight="1" x14ac:dyDescent="0.4">
      <c r="A157" s="210"/>
      <c r="B157" s="203"/>
      <c r="C157" s="234"/>
      <c r="D157" s="103" t="s">
        <v>4</v>
      </c>
      <c r="E157" s="123">
        <f t="shared" si="221"/>
        <v>0</v>
      </c>
      <c r="F157" s="109">
        <v>0</v>
      </c>
      <c r="G157" s="109">
        <v>0</v>
      </c>
      <c r="H157" s="109">
        <v>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0</v>
      </c>
      <c r="O157" s="109">
        <v>0</v>
      </c>
      <c r="P157" s="109">
        <v>0</v>
      </c>
      <c r="Q157" s="109">
        <v>0</v>
      </c>
      <c r="R157" s="172"/>
    </row>
    <row r="158" spans="1:19" s="17" customFormat="1" ht="45.75" customHeight="1" x14ac:dyDescent="0.4">
      <c r="A158" s="210" t="s">
        <v>59</v>
      </c>
      <c r="B158" s="203" t="s">
        <v>96</v>
      </c>
      <c r="C158" s="234" t="s">
        <v>76</v>
      </c>
      <c r="D158" s="104" t="s">
        <v>0</v>
      </c>
      <c r="E158" s="107">
        <f>SUM(F158:Q158)</f>
        <v>0</v>
      </c>
      <c r="F158" s="107">
        <f>F159+F160+F161+F162+F164</f>
        <v>0</v>
      </c>
      <c r="G158" s="107">
        <f t="shared" ref="G158" si="222">G159+G160+G161+G162+G164</f>
        <v>0</v>
      </c>
      <c r="H158" s="107">
        <f t="shared" ref="H158" si="223">H159+H160+H161+H162+H164</f>
        <v>0</v>
      </c>
      <c r="I158" s="107">
        <f t="shared" ref="I158" si="224">I159+I160+I161+I162+I164</f>
        <v>0</v>
      </c>
      <c r="J158" s="107">
        <f t="shared" ref="J158" si="225">J159+J160+J161+J162+J164</f>
        <v>0</v>
      </c>
      <c r="K158" s="107">
        <f t="shared" ref="K158" si="226">K159+K160+K161+K162+K164</f>
        <v>0</v>
      </c>
      <c r="L158" s="107">
        <f t="shared" ref="L158" si="227">L159+L160+L161+L162+L164</f>
        <v>0</v>
      </c>
      <c r="M158" s="107">
        <f t="shared" ref="M158" si="228">M159+M160+M161+M162+M164</f>
        <v>0</v>
      </c>
      <c r="N158" s="107">
        <f t="shared" ref="N158" si="229">N159+N160+N161+N162+N164</f>
        <v>0</v>
      </c>
      <c r="O158" s="107">
        <f t="shared" ref="O158" si="230">O159+O160+O161+O162+O164</f>
        <v>0</v>
      </c>
      <c r="P158" s="107">
        <f t="shared" ref="P158" si="231">P159+P160+P161+P162+P164</f>
        <v>0</v>
      </c>
      <c r="Q158" s="107">
        <f t="shared" ref="Q158" si="232">Q159+Q160+Q161+Q162+Q164</f>
        <v>0</v>
      </c>
      <c r="R158" s="172"/>
    </row>
    <row r="159" spans="1:19" s="17" customFormat="1" ht="32.25" customHeight="1" x14ac:dyDescent="0.4">
      <c r="A159" s="210"/>
      <c r="B159" s="203"/>
      <c r="C159" s="234"/>
      <c r="D159" s="103" t="s">
        <v>6</v>
      </c>
      <c r="E159" s="123">
        <f>SUM(F159:Q159)</f>
        <v>0</v>
      </c>
      <c r="F159" s="109">
        <v>0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0</v>
      </c>
      <c r="M159" s="109">
        <v>0</v>
      </c>
      <c r="N159" s="109">
        <v>0</v>
      </c>
      <c r="O159" s="109">
        <v>0</v>
      </c>
      <c r="P159" s="109">
        <v>0</v>
      </c>
      <c r="Q159" s="109">
        <v>0</v>
      </c>
      <c r="R159" s="172"/>
    </row>
    <row r="160" spans="1:19" s="17" customFormat="1" ht="39.75" customHeight="1" x14ac:dyDescent="0.4">
      <c r="A160" s="210"/>
      <c r="B160" s="203"/>
      <c r="C160" s="234"/>
      <c r="D160" s="103" t="s">
        <v>7</v>
      </c>
      <c r="E160" s="123">
        <f t="shared" ref="E160:E164" si="233">SUM(F160:Q160)</f>
        <v>0</v>
      </c>
      <c r="F160" s="109">
        <v>0</v>
      </c>
      <c r="G160" s="109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09">
        <v>0</v>
      </c>
      <c r="N160" s="109">
        <v>0</v>
      </c>
      <c r="O160" s="109">
        <v>0</v>
      </c>
      <c r="P160" s="109">
        <v>0</v>
      </c>
      <c r="Q160" s="109">
        <v>0</v>
      </c>
      <c r="R160" s="172"/>
    </row>
    <row r="161" spans="1:19" s="17" customFormat="1" ht="30" customHeight="1" x14ac:dyDescent="0.4">
      <c r="A161" s="210"/>
      <c r="B161" s="203"/>
      <c r="C161" s="234"/>
      <c r="D161" s="103" t="s">
        <v>1</v>
      </c>
      <c r="E161" s="182">
        <f t="shared" si="233"/>
        <v>0</v>
      </c>
      <c r="F161" s="112">
        <v>0</v>
      </c>
      <c r="G161" s="112">
        <v>0</v>
      </c>
      <c r="H161" s="112">
        <v>0</v>
      </c>
      <c r="I161" s="112">
        <v>0</v>
      </c>
      <c r="J161" s="112">
        <v>0</v>
      </c>
      <c r="K161" s="112"/>
      <c r="L161" s="112">
        <v>0</v>
      </c>
      <c r="M161" s="112">
        <f>125-125</f>
        <v>0</v>
      </c>
      <c r="N161" s="112"/>
      <c r="O161" s="112">
        <v>0</v>
      </c>
      <c r="P161" s="112">
        <v>0</v>
      </c>
      <c r="Q161" s="109">
        <v>0</v>
      </c>
      <c r="R161" s="172">
        <v>125</v>
      </c>
      <c r="S161" s="168">
        <f>R161-E161</f>
        <v>125</v>
      </c>
    </row>
    <row r="162" spans="1:19" s="17" customFormat="1" ht="60" customHeight="1" x14ac:dyDescent="0.4">
      <c r="A162" s="210"/>
      <c r="B162" s="203"/>
      <c r="C162" s="234"/>
      <c r="D162" s="103" t="s">
        <v>2</v>
      </c>
      <c r="E162" s="123">
        <f t="shared" si="233"/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0</v>
      </c>
      <c r="P162" s="109">
        <v>0</v>
      </c>
      <c r="Q162" s="109">
        <v>0</v>
      </c>
      <c r="R162" s="172"/>
    </row>
    <row r="163" spans="1:19" s="17" customFormat="1" ht="33.75" customHeight="1" x14ac:dyDescent="0.4">
      <c r="A163" s="210"/>
      <c r="B163" s="203"/>
      <c r="C163" s="234"/>
      <c r="D163" s="40" t="s">
        <v>36</v>
      </c>
      <c r="E163" s="123">
        <f t="shared" si="233"/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09">
        <v>0</v>
      </c>
      <c r="Q163" s="109">
        <v>0</v>
      </c>
      <c r="R163" s="172"/>
    </row>
    <row r="164" spans="1:19" s="17" customFormat="1" ht="27.75" customHeight="1" x14ac:dyDescent="0.4">
      <c r="A164" s="210"/>
      <c r="B164" s="203"/>
      <c r="C164" s="234"/>
      <c r="D164" s="103" t="s">
        <v>4</v>
      </c>
      <c r="E164" s="123">
        <f t="shared" si="233"/>
        <v>0</v>
      </c>
      <c r="F164" s="109">
        <v>0</v>
      </c>
      <c r="G164" s="109">
        <v>0</v>
      </c>
      <c r="H164" s="109">
        <v>0</v>
      </c>
      <c r="I164" s="109">
        <v>0</v>
      </c>
      <c r="J164" s="109">
        <v>0</v>
      </c>
      <c r="K164" s="109">
        <v>0</v>
      </c>
      <c r="L164" s="109">
        <v>0</v>
      </c>
      <c r="M164" s="109">
        <v>0</v>
      </c>
      <c r="N164" s="109">
        <v>0</v>
      </c>
      <c r="O164" s="109">
        <v>0</v>
      </c>
      <c r="P164" s="109">
        <v>0</v>
      </c>
      <c r="Q164" s="109">
        <v>0</v>
      </c>
      <c r="R164" s="172"/>
    </row>
    <row r="165" spans="1:19" s="39" customFormat="1" ht="58.5" hidden="1" customHeight="1" x14ac:dyDescent="0.4">
      <c r="A165" s="210" t="s">
        <v>97</v>
      </c>
      <c r="B165" s="203" t="s">
        <v>69</v>
      </c>
      <c r="C165" s="205" t="s">
        <v>63</v>
      </c>
      <c r="D165" s="105" t="s">
        <v>0</v>
      </c>
      <c r="E165" s="107">
        <f>SUM(F165:Q165)</f>
        <v>0</v>
      </c>
      <c r="F165" s="107">
        <f>F166+F167+F168+F169+F171</f>
        <v>0</v>
      </c>
      <c r="G165" s="107">
        <f t="shared" ref="G165" si="234">G166+G167+G168+G169+G171</f>
        <v>0</v>
      </c>
      <c r="H165" s="107">
        <f t="shared" ref="H165" si="235">H166+H167+H168+H169+H171</f>
        <v>0</v>
      </c>
      <c r="I165" s="107">
        <f t="shared" ref="I165" si="236">I166+I167+I168+I169+I171</f>
        <v>0</v>
      </c>
      <c r="J165" s="107">
        <f t="shared" ref="J165" si="237">J166+J167+J168+J169+J171</f>
        <v>0</v>
      </c>
      <c r="K165" s="107">
        <f t="shared" ref="K165" si="238">K166+K167+K168+K169+K171</f>
        <v>0</v>
      </c>
      <c r="L165" s="107">
        <f t="shared" ref="L165" si="239">L166+L167+L168+L169+L171</f>
        <v>0</v>
      </c>
      <c r="M165" s="107">
        <f t="shared" ref="M165" si="240">M166+M167+M168+M169+M171</f>
        <v>0</v>
      </c>
      <c r="N165" s="107">
        <f t="shared" ref="N165" si="241">N166+N167+N168+N169+N171</f>
        <v>0</v>
      </c>
      <c r="O165" s="107">
        <f t="shared" ref="O165" si="242">O166+O167+O168+O169+O171</f>
        <v>0</v>
      </c>
      <c r="P165" s="107">
        <f t="shared" ref="P165" si="243">P166+P167+P168+P169+P171</f>
        <v>0</v>
      </c>
      <c r="Q165" s="148">
        <f t="shared" ref="Q165" si="244">Q166+Q167+Q168+Q169+Q171</f>
        <v>0</v>
      </c>
      <c r="R165" s="176"/>
      <c r="S165" s="152"/>
    </row>
    <row r="166" spans="1:19" s="39" customFormat="1" ht="43.5" hidden="1" customHeight="1" x14ac:dyDescent="0.4">
      <c r="A166" s="210"/>
      <c r="B166" s="203"/>
      <c r="C166" s="205"/>
      <c r="D166" s="40" t="s">
        <v>6</v>
      </c>
      <c r="E166" s="123">
        <f>SUM(F166:Q166)</f>
        <v>0</v>
      </c>
      <c r="F166" s="109">
        <v>0</v>
      </c>
      <c r="G166" s="109">
        <v>0</v>
      </c>
      <c r="H166" s="109">
        <v>0</v>
      </c>
      <c r="I166" s="109">
        <v>0</v>
      </c>
      <c r="J166" s="109">
        <v>0</v>
      </c>
      <c r="K166" s="109">
        <v>0</v>
      </c>
      <c r="L166" s="109">
        <v>0</v>
      </c>
      <c r="M166" s="109">
        <v>0</v>
      </c>
      <c r="N166" s="109">
        <v>0</v>
      </c>
      <c r="O166" s="109">
        <v>0</v>
      </c>
      <c r="P166" s="109">
        <v>0</v>
      </c>
      <c r="Q166" s="149">
        <v>0</v>
      </c>
      <c r="R166" s="173"/>
      <c r="S166" s="153"/>
    </row>
    <row r="167" spans="1:19" s="39" customFormat="1" ht="46.5" hidden="1" customHeight="1" x14ac:dyDescent="0.4">
      <c r="A167" s="210"/>
      <c r="B167" s="203"/>
      <c r="C167" s="205"/>
      <c r="D167" s="40" t="s">
        <v>7</v>
      </c>
      <c r="E167" s="123">
        <f t="shared" ref="E167:E171" si="245">SUM(F167:Q167)</f>
        <v>0</v>
      </c>
      <c r="F167" s="109">
        <v>0</v>
      </c>
      <c r="G167" s="109">
        <v>0</v>
      </c>
      <c r="H167" s="109">
        <v>0</v>
      </c>
      <c r="I167" s="109">
        <v>0</v>
      </c>
      <c r="J167" s="109">
        <v>0</v>
      </c>
      <c r="K167" s="109">
        <v>0</v>
      </c>
      <c r="L167" s="109">
        <v>0</v>
      </c>
      <c r="M167" s="109">
        <v>0</v>
      </c>
      <c r="N167" s="109">
        <v>0</v>
      </c>
      <c r="O167" s="109">
        <v>0</v>
      </c>
      <c r="P167" s="109">
        <v>0</v>
      </c>
      <c r="Q167" s="149">
        <v>0</v>
      </c>
      <c r="R167" s="173"/>
      <c r="S167" s="153"/>
    </row>
    <row r="168" spans="1:19" s="39" customFormat="1" ht="37.5" hidden="1" customHeight="1" x14ac:dyDescent="0.5">
      <c r="A168" s="210"/>
      <c r="B168" s="203"/>
      <c r="C168" s="205"/>
      <c r="D168" s="40" t="s">
        <v>1</v>
      </c>
      <c r="E168" s="123">
        <f t="shared" si="245"/>
        <v>0</v>
      </c>
      <c r="F168" s="109"/>
      <c r="G168" s="109"/>
      <c r="H168" s="109"/>
      <c r="I168" s="109"/>
      <c r="J168" s="109"/>
      <c r="K168" s="109"/>
      <c r="L168" s="109"/>
      <c r="M168" s="109">
        <v>0</v>
      </c>
      <c r="N168" s="112">
        <v>0</v>
      </c>
      <c r="O168" s="112">
        <v>0</v>
      </c>
      <c r="P168" s="112">
        <v>0</v>
      </c>
      <c r="Q168" s="150">
        <v>0</v>
      </c>
      <c r="R168" s="166"/>
      <c r="S168" s="154"/>
    </row>
    <row r="169" spans="1:19" s="39" customFormat="1" ht="76.5" hidden="1" customHeight="1" x14ac:dyDescent="0.4">
      <c r="A169" s="210"/>
      <c r="B169" s="203"/>
      <c r="C169" s="205"/>
      <c r="D169" s="40" t="s">
        <v>2</v>
      </c>
      <c r="E169" s="123">
        <f t="shared" si="245"/>
        <v>0</v>
      </c>
      <c r="F169" s="109">
        <v>0</v>
      </c>
      <c r="G169" s="109">
        <v>0</v>
      </c>
      <c r="H169" s="109">
        <v>0</v>
      </c>
      <c r="I169" s="109">
        <v>0</v>
      </c>
      <c r="J169" s="109">
        <v>0</v>
      </c>
      <c r="K169" s="109">
        <v>0</v>
      </c>
      <c r="L169" s="109">
        <v>0</v>
      </c>
      <c r="M169" s="109">
        <v>0</v>
      </c>
      <c r="N169" s="109">
        <v>0</v>
      </c>
      <c r="O169" s="109">
        <v>0</v>
      </c>
      <c r="P169" s="112">
        <v>0</v>
      </c>
      <c r="Q169" s="150">
        <v>0</v>
      </c>
      <c r="R169" s="173"/>
      <c r="S169" s="153"/>
    </row>
    <row r="170" spans="1:19" s="39" customFormat="1" ht="31.5" hidden="1" customHeight="1" x14ac:dyDescent="0.4">
      <c r="A170" s="210"/>
      <c r="B170" s="203"/>
      <c r="C170" s="205"/>
      <c r="D170" s="40" t="s">
        <v>36</v>
      </c>
      <c r="E170" s="123">
        <f t="shared" si="245"/>
        <v>0</v>
      </c>
      <c r="F170" s="109">
        <v>0</v>
      </c>
      <c r="G170" s="112">
        <v>0</v>
      </c>
      <c r="H170" s="112"/>
      <c r="I170" s="112">
        <v>0</v>
      </c>
      <c r="J170" s="112">
        <v>0</v>
      </c>
      <c r="K170" s="112">
        <v>0</v>
      </c>
      <c r="L170" s="112">
        <v>0</v>
      </c>
      <c r="M170" s="112">
        <v>0</v>
      </c>
      <c r="N170" s="112">
        <v>0</v>
      </c>
      <c r="O170" s="112">
        <v>0</v>
      </c>
      <c r="P170" s="112">
        <v>0</v>
      </c>
      <c r="Q170" s="150">
        <v>0</v>
      </c>
      <c r="R170" s="173"/>
      <c r="S170" s="153"/>
    </row>
    <row r="171" spans="1:19" s="39" customFormat="1" ht="28.5" hidden="1" customHeight="1" thickBot="1" x14ac:dyDescent="0.45">
      <c r="A171" s="210"/>
      <c r="B171" s="203"/>
      <c r="C171" s="205"/>
      <c r="D171" s="40" t="s">
        <v>4</v>
      </c>
      <c r="E171" s="123">
        <f t="shared" si="245"/>
        <v>0</v>
      </c>
      <c r="F171" s="109">
        <v>0</v>
      </c>
      <c r="G171" s="112">
        <v>0</v>
      </c>
      <c r="H171" s="112"/>
      <c r="I171" s="112">
        <v>0</v>
      </c>
      <c r="J171" s="112">
        <v>0</v>
      </c>
      <c r="K171" s="112">
        <v>0</v>
      </c>
      <c r="L171" s="112"/>
      <c r="M171" s="112"/>
      <c r="N171" s="112">
        <v>0</v>
      </c>
      <c r="O171" s="112">
        <v>0</v>
      </c>
      <c r="P171" s="112"/>
      <c r="Q171" s="150">
        <f>778.09401-778.09401</f>
        <v>0</v>
      </c>
      <c r="R171" s="175"/>
      <c r="S171" s="155"/>
    </row>
    <row r="172" spans="1:19" s="21" customFormat="1" ht="58.5" customHeight="1" x14ac:dyDescent="0.4">
      <c r="A172" s="235" t="s">
        <v>3</v>
      </c>
      <c r="B172" s="235"/>
      <c r="C172" s="236"/>
      <c r="D172" s="38" t="s">
        <v>0</v>
      </c>
      <c r="E172" s="107">
        <f>SUM(F172:Q172)</f>
        <v>525505.25884999998</v>
      </c>
      <c r="F172" s="107">
        <f>F173+F174+F175+F178</f>
        <v>35901.594119999994</v>
      </c>
      <c r="G172" s="107">
        <f t="shared" ref="G172:Q172" si="246">G173+G174+G175+G178</f>
        <v>42233.071169999996</v>
      </c>
      <c r="H172" s="107">
        <f t="shared" si="246"/>
        <v>42688.610419999997</v>
      </c>
      <c r="I172" s="107">
        <f t="shared" si="246"/>
        <v>40992.492299999991</v>
      </c>
      <c r="J172" s="107">
        <f t="shared" si="246"/>
        <v>36263.039180000007</v>
      </c>
      <c r="K172" s="107">
        <f t="shared" si="246"/>
        <v>42115.391890000014</v>
      </c>
      <c r="L172" s="107">
        <f t="shared" si="246"/>
        <v>50324.120330000005</v>
      </c>
      <c r="M172" s="107">
        <f t="shared" si="246"/>
        <v>31828.49409</v>
      </c>
      <c r="N172" s="107">
        <f t="shared" si="246"/>
        <v>24495.899370000003</v>
      </c>
      <c r="O172" s="107">
        <f t="shared" si="246"/>
        <v>34032.421699999992</v>
      </c>
      <c r="P172" s="107">
        <f t="shared" si="246"/>
        <v>23001.242910000004</v>
      </c>
      <c r="Q172" s="107">
        <f t="shared" si="246"/>
        <v>121628.88136999999</v>
      </c>
      <c r="R172" s="179"/>
    </row>
    <row r="173" spans="1:19" s="21" customFormat="1" ht="67.5" customHeight="1" x14ac:dyDescent="0.4">
      <c r="A173" s="235"/>
      <c r="B173" s="235"/>
      <c r="C173" s="236"/>
      <c r="D173" s="38" t="s">
        <v>6</v>
      </c>
      <c r="E173" s="107">
        <f>SUM(F173:Q173)</f>
        <v>4796.0000000000009</v>
      </c>
      <c r="F173" s="107">
        <f>F12+F19+F40+F47+F82+F61+F68+F75+F89++F96+F152+F159+F166+F145+F138+F131+F124+F117+F110+F103+F54+F26</f>
        <v>409.14060000000001</v>
      </c>
      <c r="G173" s="107">
        <f t="shared" ref="G173:Q173" si="247">G12+G19+G40+G47+G82+G61+G68+G75+G89++G96+G152+G159+G166+G145+G138+G131+G124+G117+G110+G103+G54+G26</f>
        <v>454.84100999999998</v>
      </c>
      <c r="H173" s="107">
        <f t="shared" si="247"/>
        <v>408.01839000000001</v>
      </c>
      <c r="I173" s="107">
        <f t="shared" si="247"/>
        <v>602.91737999999998</v>
      </c>
      <c r="J173" s="107">
        <f t="shared" si="247"/>
        <v>286.74612999999999</v>
      </c>
      <c r="K173" s="107">
        <f t="shared" si="247"/>
        <v>947.94132999999999</v>
      </c>
      <c r="L173" s="107">
        <f t="shared" si="247"/>
        <v>846.49050999999997</v>
      </c>
      <c r="M173" s="107">
        <f t="shared" si="247"/>
        <v>236.96432999999999</v>
      </c>
      <c r="N173" s="107">
        <f t="shared" si="247"/>
        <v>155.15353999999999</v>
      </c>
      <c r="O173" s="107">
        <f t="shared" si="247"/>
        <v>382.66104000000001</v>
      </c>
      <c r="P173" s="107">
        <f t="shared" si="247"/>
        <v>65.125739999999993</v>
      </c>
      <c r="Q173" s="107">
        <f t="shared" si="247"/>
        <v>0</v>
      </c>
      <c r="R173" s="179"/>
    </row>
    <row r="174" spans="1:19" s="21" customFormat="1" ht="43.5" customHeight="1" x14ac:dyDescent="0.4">
      <c r="A174" s="235"/>
      <c r="B174" s="235"/>
      <c r="C174" s="236"/>
      <c r="D174" s="38" t="s">
        <v>7</v>
      </c>
      <c r="E174" s="107">
        <f>SUM(F174:Q174)</f>
        <v>1747.4</v>
      </c>
      <c r="F174" s="107">
        <f>F13+F20+F41+F48+F83+F62+F69+F76+F90++F97+F153+F160+F167+F146+F139+F132+F125+F118+F111+F104+F55+F27</f>
        <v>40</v>
      </c>
      <c r="G174" s="107">
        <f t="shared" ref="G174:Q174" si="248">G13+G20+G41+G48+G83+G62+G69+G76+G90++G97+G153+G160+G167+G146+G139+G132+G125+G118+G111+G104+G55+G27</f>
        <v>14.5</v>
      </c>
      <c r="H174" s="107">
        <f t="shared" si="248"/>
        <v>289.45</v>
      </c>
      <c r="I174" s="107">
        <f t="shared" si="248"/>
        <v>0</v>
      </c>
      <c r="J174" s="107">
        <f t="shared" si="248"/>
        <v>82.1</v>
      </c>
      <c r="K174" s="107">
        <f t="shared" si="248"/>
        <v>109.76</v>
      </c>
      <c r="L174" s="107">
        <f t="shared" si="248"/>
        <v>36</v>
      </c>
      <c r="M174" s="107">
        <f t="shared" si="248"/>
        <v>28.176100000000002</v>
      </c>
      <c r="N174" s="107">
        <f t="shared" si="248"/>
        <v>45.872909999999997</v>
      </c>
      <c r="O174" s="107">
        <f t="shared" si="248"/>
        <v>48.674990000000001</v>
      </c>
      <c r="P174" s="107">
        <f t="shared" si="248"/>
        <v>454.02742000000001</v>
      </c>
      <c r="Q174" s="107">
        <f t="shared" si="248"/>
        <v>598.83857999999998</v>
      </c>
      <c r="R174" s="179"/>
    </row>
    <row r="175" spans="1:19" s="21" customFormat="1" ht="42" customHeight="1" x14ac:dyDescent="0.4">
      <c r="A175" s="235"/>
      <c r="B175" s="235"/>
      <c r="C175" s="236"/>
      <c r="D175" s="38" t="s">
        <v>1</v>
      </c>
      <c r="E175" s="107">
        <f>SUM(F175:Q175)</f>
        <v>456522.07182999997</v>
      </c>
      <c r="F175" s="107">
        <f>F14+F21+F42+F49+F84+F63+F70+F77+F91+F154+F161+F168+F147+F140+F133+F126+F119+F112+F105+F56+F28+F35</f>
        <v>35452.453519999995</v>
      </c>
      <c r="G175" s="107">
        <f>G14+G21+G42+G49+G84+G63+G70+G77+G91+G154+G161+G168+G147+G140+G133+G126+G119+G112+G105+G56+G28+G35</f>
        <v>41763.730159999999</v>
      </c>
      <c r="H175" s="107">
        <f>H14+H21+H42+H49+H84+H63+H70+H77+H91+H154+H161+H168+H147+H140+H133+H126+H119+H112+H105+H56+H28+H35</f>
        <v>41991.142029999995</v>
      </c>
      <c r="I175" s="107">
        <f>I14+I21+I42+I49+I84+I63+I70+I77+I91+I154+I161+I168+I147+I140+I133+I126+I119+I112+I105+I56+I28+I35</f>
        <v>40389.574919999992</v>
      </c>
      <c r="J175" s="107">
        <f t="shared" ref="J175:Q175" si="249">J14+J21+J42+J49+J84+J63+J70+J77+J91+J154+J161+J168+J147+J140+J133+J126+J119+J112+J105+J56+J28+J35</f>
        <v>35894.193050000009</v>
      </c>
      <c r="K175" s="107">
        <f t="shared" si="249"/>
        <v>41057.69056000001</v>
      </c>
      <c r="L175" s="107">
        <f t="shared" si="249"/>
        <v>49441.629820000002</v>
      </c>
      <c r="M175" s="107">
        <f t="shared" si="249"/>
        <v>31563.353660000001</v>
      </c>
      <c r="N175" s="107">
        <f t="shared" si="249"/>
        <v>24294.872920000002</v>
      </c>
      <c r="O175" s="107">
        <f t="shared" si="249"/>
        <v>33601.085669999993</v>
      </c>
      <c r="P175" s="107">
        <f t="shared" si="249"/>
        <v>22482.089750000003</v>
      </c>
      <c r="Q175" s="107">
        <f t="shared" si="249"/>
        <v>58590.255769999996</v>
      </c>
      <c r="R175" s="179"/>
    </row>
    <row r="176" spans="1:19" s="21" customFormat="1" ht="66" customHeight="1" x14ac:dyDescent="0.4">
      <c r="A176" s="235"/>
      <c r="B176" s="235"/>
      <c r="C176" s="236"/>
      <c r="D176" s="38" t="s">
        <v>2</v>
      </c>
      <c r="E176" s="107">
        <f t="shared" ref="E176:E178" si="250">SUM(F176:Q176)</f>
        <v>0</v>
      </c>
      <c r="F176" s="107">
        <f t="shared" ref="F176:Q176" si="251">F15+F22+F43+F50+F85+F64+F71+F78+F92++F99+F155+F162+F169</f>
        <v>0</v>
      </c>
      <c r="G176" s="107">
        <f t="shared" si="251"/>
        <v>0</v>
      </c>
      <c r="H176" s="107">
        <f t="shared" si="251"/>
        <v>0</v>
      </c>
      <c r="I176" s="107">
        <f t="shared" si="251"/>
        <v>0</v>
      </c>
      <c r="J176" s="107">
        <f t="shared" si="251"/>
        <v>0</v>
      </c>
      <c r="K176" s="107">
        <f t="shared" si="251"/>
        <v>0</v>
      </c>
      <c r="L176" s="107">
        <f t="shared" si="251"/>
        <v>0</v>
      </c>
      <c r="M176" s="107">
        <f t="shared" si="251"/>
        <v>0</v>
      </c>
      <c r="N176" s="107">
        <f t="shared" si="251"/>
        <v>0</v>
      </c>
      <c r="O176" s="107">
        <f t="shared" si="251"/>
        <v>0</v>
      </c>
      <c r="P176" s="107">
        <f t="shared" si="251"/>
        <v>0</v>
      </c>
      <c r="Q176" s="107">
        <f t="shared" si="251"/>
        <v>0</v>
      </c>
      <c r="R176" s="179"/>
    </row>
    <row r="177" spans="1:18" s="17" customFormat="1" ht="33.75" customHeight="1" x14ac:dyDescent="0.4">
      <c r="A177" s="235"/>
      <c r="B177" s="235"/>
      <c r="C177" s="236"/>
      <c r="D177" s="38" t="s">
        <v>36</v>
      </c>
      <c r="E177" s="107">
        <f t="shared" si="250"/>
        <v>0</v>
      </c>
      <c r="F177" s="107">
        <f t="shared" ref="F177:Q177" si="252">F16+F23+F44+F51+F86+F65+F72+F79+F93++F100+F156+F163+F170</f>
        <v>0</v>
      </c>
      <c r="G177" s="107">
        <f t="shared" si="252"/>
        <v>0</v>
      </c>
      <c r="H177" s="107">
        <f t="shared" si="252"/>
        <v>0</v>
      </c>
      <c r="I177" s="107">
        <f t="shared" si="252"/>
        <v>0</v>
      </c>
      <c r="J177" s="107">
        <f t="shared" si="252"/>
        <v>0</v>
      </c>
      <c r="K177" s="107">
        <f t="shared" si="252"/>
        <v>0</v>
      </c>
      <c r="L177" s="107">
        <f t="shared" si="252"/>
        <v>0</v>
      </c>
      <c r="M177" s="107">
        <f t="shared" si="252"/>
        <v>0</v>
      </c>
      <c r="N177" s="107">
        <f t="shared" si="252"/>
        <v>0</v>
      </c>
      <c r="O177" s="107">
        <f t="shared" si="252"/>
        <v>0</v>
      </c>
      <c r="P177" s="107">
        <f t="shared" si="252"/>
        <v>0</v>
      </c>
      <c r="Q177" s="107">
        <f t="shared" si="252"/>
        <v>0</v>
      </c>
      <c r="R177" s="172"/>
    </row>
    <row r="178" spans="1:18" s="21" customFormat="1" ht="30" customHeight="1" x14ac:dyDescent="0.4">
      <c r="A178" s="235"/>
      <c r="B178" s="235"/>
      <c r="C178" s="236"/>
      <c r="D178" s="38" t="s">
        <v>4</v>
      </c>
      <c r="E178" s="162">
        <f t="shared" si="250"/>
        <v>62439.787019999996</v>
      </c>
      <c r="F178" s="107">
        <f t="shared" ref="F178:Q178" si="253">F17+F24+F45+F52+F87+F66+F73+F80+F94++F101+F157+F164+F171</f>
        <v>0</v>
      </c>
      <c r="G178" s="107">
        <f t="shared" si="253"/>
        <v>0</v>
      </c>
      <c r="H178" s="107">
        <f t="shared" si="253"/>
        <v>0</v>
      </c>
      <c r="I178" s="107">
        <f t="shared" si="253"/>
        <v>0</v>
      </c>
      <c r="J178" s="107">
        <f t="shared" si="253"/>
        <v>0</v>
      </c>
      <c r="K178" s="107">
        <f t="shared" si="253"/>
        <v>0</v>
      </c>
      <c r="L178" s="107">
        <f t="shared" si="253"/>
        <v>0</v>
      </c>
      <c r="M178" s="107">
        <f t="shared" si="253"/>
        <v>0</v>
      </c>
      <c r="N178" s="107">
        <f t="shared" si="253"/>
        <v>0</v>
      </c>
      <c r="O178" s="107">
        <f t="shared" si="253"/>
        <v>0</v>
      </c>
      <c r="P178" s="107">
        <f t="shared" si="253"/>
        <v>0</v>
      </c>
      <c r="Q178" s="107">
        <f t="shared" si="253"/>
        <v>62439.787019999996</v>
      </c>
      <c r="R178" s="179"/>
    </row>
    <row r="179" spans="1:18" s="21" customFormat="1" ht="30.75" hidden="1" customHeight="1" x14ac:dyDescent="0.4">
      <c r="A179" s="92"/>
      <c r="B179" s="92"/>
      <c r="C179" s="93"/>
      <c r="D179" s="94"/>
      <c r="E179" s="95"/>
      <c r="F179" s="123">
        <f>F18+F39+F46+F60+F88+F67+F74+F81+F95++F102+F158+F165+F172</f>
        <v>45991.033059999994</v>
      </c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79"/>
    </row>
    <row r="180" spans="1:18" s="63" customFormat="1" ht="45" customHeight="1" x14ac:dyDescent="0.4">
      <c r="A180" s="96"/>
      <c r="B180" s="97"/>
      <c r="C180" s="117"/>
      <c r="D180" s="121"/>
      <c r="E180" s="125"/>
      <c r="F180" s="124"/>
      <c r="G180" s="96"/>
      <c r="H180" s="96"/>
      <c r="I180" s="96"/>
      <c r="J180" s="96"/>
      <c r="K180" s="96"/>
      <c r="L180" s="96"/>
      <c r="M180" s="96"/>
      <c r="N180" s="98"/>
      <c r="O180" s="96"/>
      <c r="P180" s="96"/>
      <c r="Q180" s="96"/>
      <c r="R180" s="180"/>
    </row>
    <row r="181" spans="1:18" s="63" customFormat="1" ht="126" customHeight="1" x14ac:dyDescent="0.45">
      <c r="A181" s="96"/>
      <c r="B181" s="252" t="s">
        <v>108</v>
      </c>
      <c r="C181" s="252"/>
      <c r="D181" s="252"/>
      <c r="E181" s="262" t="s">
        <v>102</v>
      </c>
      <c r="F181" s="262"/>
      <c r="G181" s="262"/>
      <c r="H181" s="262"/>
      <c r="I181" s="263" t="s">
        <v>109</v>
      </c>
      <c r="J181" s="263"/>
      <c r="K181" s="263"/>
      <c r="L181" s="132"/>
      <c r="M181" s="96"/>
      <c r="N181" s="98"/>
      <c r="O181" s="96"/>
      <c r="P181" s="96"/>
      <c r="Q181" s="96"/>
      <c r="R181" s="180"/>
    </row>
    <row r="182" spans="1:18" s="63" customFormat="1" ht="45" customHeight="1" x14ac:dyDescent="0.4">
      <c r="A182" s="96"/>
      <c r="B182" s="128"/>
      <c r="C182" s="130"/>
      <c r="D182" s="131"/>
      <c r="E182" s="129"/>
      <c r="F182" s="129"/>
      <c r="G182" s="129"/>
      <c r="H182" s="129"/>
      <c r="I182" s="133"/>
      <c r="J182" s="133"/>
      <c r="K182" s="133"/>
      <c r="L182" s="132"/>
      <c r="M182" s="96"/>
      <c r="N182" s="98"/>
      <c r="O182" s="96"/>
      <c r="P182" s="96"/>
      <c r="Q182" s="96"/>
      <c r="R182" s="180"/>
    </row>
    <row r="183" spans="1:18" s="63" customFormat="1" ht="45" customHeight="1" x14ac:dyDescent="0.4">
      <c r="A183" s="96"/>
      <c r="B183" s="128"/>
      <c r="C183" s="130"/>
      <c r="D183" s="131"/>
      <c r="E183" s="129"/>
      <c r="F183" s="129"/>
      <c r="G183" s="129"/>
      <c r="H183" s="129"/>
      <c r="I183" s="133"/>
      <c r="J183" s="133"/>
      <c r="K183" s="133"/>
      <c r="L183" s="132"/>
      <c r="M183" s="96"/>
      <c r="N183" s="98"/>
      <c r="O183" s="96"/>
      <c r="P183" s="96"/>
      <c r="Q183" s="96"/>
      <c r="R183" s="180"/>
    </row>
    <row r="184" spans="1:18" s="63" customFormat="1" ht="45" customHeight="1" x14ac:dyDescent="0.4">
      <c r="A184" s="96"/>
      <c r="B184" s="128" t="s">
        <v>104</v>
      </c>
      <c r="C184" s="130"/>
      <c r="D184" s="131"/>
      <c r="E184" s="129"/>
      <c r="F184" s="129"/>
      <c r="G184" s="129"/>
      <c r="H184" s="129"/>
      <c r="I184" s="133"/>
      <c r="J184" s="133"/>
      <c r="K184" s="133"/>
      <c r="L184" s="132"/>
      <c r="M184" s="96"/>
      <c r="N184" s="98"/>
      <c r="O184" s="96"/>
      <c r="P184" s="96"/>
      <c r="Q184" s="96"/>
      <c r="R184" s="180"/>
    </row>
    <row r="185" spans="1:18" s="63" customFormat="1" ht="58.5" customHeight="1" x14ac:dyDescent="0.4">
      <c r="A185" s="96"/>
      <c r="B185" s="138" t="s">
        <v>105</v>
      </c>
      <c r="C185" s="130"/>
      <c r="D185" s="131"/>
      <c r="E185" s="129"/>
      <c r="F185" s="129"/>
      <c r="G185" s="129"/>
      <c r="H185" s="129"/>
      <c r="I185" s="133"/>
      <c r="J185" s="133"/>
      <c r="K185" s="133"/>
      <c r="L185" s="132"/>
      <c r="M185" s="96"/>
      <c r="N185" s="98"/>
      <c r="O185" s="96"/>
      <c r="P185" s="96"/>
      <c r="Q185" s="96"/>
      <c r="R185" s="180"/>
    </row>
    <row r="186" spans="1:18" s="63" customFormat="1" ht="54" customHeight="1" x14ac:dyDescent="0.4">
      <c r="A186" s="96"/>
      <c r="B186" s="138"/>
      <c r="C186" s="130"/>
      <c r="D186" s="131"/>
      <c r="E186" s="129"/>
      <c r="F186" s="129"/>
      <c r="G186" s="129"/>
      <c r="H186" s="129"/>
      <c r="I186" s="133"/>
      <c r="J186" s="133"/>
      <c r="K186" s="133"/>
      <c r="L186" s="132"/>
      <c r="M186" s="96"/>
      <c r="N186" s="98"/>
      <c r="O186" s="96"/>
      <c r="P186" s="96"/>
      <c r="Q186" s="96"/>
      <c r="R186" s="180"/>
    </row>
    <row r="187" spans="1:18" s="63" customFormat="1" ht="57" customHeight="1" x14ac:dyDescent="0.4">
      <c r="A187" s="96"/>
      <c r="B187" s="138"/>
      <c r="C187" s="130"/>
      <c r="D187" s="131"/>
      <c r="E187" s="129"/>
      <c r="F187" s="129"/>
      <c r="G187" s="129"/>
      <c r="H187" s="129"/>
      <c r="I187" s="133"/>
      <c r="J187" s="133"/>
      <c r="K187" s="133"/>
      <c r="L187" s="132"/>
      <c r="M187" s="96"/>
      <c r="N187" s="98"/>
      <c r="O187" s="96"/>
      <c r="P187" s="96"/>
      <c r="Q187" s="96"/>
      <c r="R187" s="180"/>
    </row>
    <row r="188" spans="1:18" s="35" customFormat="1" ht="4.5" customHeight="1" x14ac:dyDescent="0.4">
      <c r="A188" s="99"/>
      <c r="B188" s="138"/>
      <c r="C188" s="118"/>
      <c r="D188" s="113"/>
      <c r="E188" s="126"/>
      <c r="F188" s="124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181"/>
    </row>
    <row r="189" spans="1:18" s="35" customFormat="1" ht="57.75" hidden="1" customHeight="1" x14ac:dyDescent="0.4">
      <c r="A189" s="99"/>
      <c r="B189" s="100"/>
      <c r="C189" s="118"/>
      <c r="D189" s="113"/>
      <c r="E189" s="126"/>
      <c r="F189" s="124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181"/>
    </row>
    <row r="190" spans="1:18" s="35" customFormat="1" ht="43.5" customHeight="1" x14ac:dyDescent="0.4">
      <c r="A190" s="99"/>
      <c r="B190" s="100"/>
      <c r="C190" s="118"/>
      <c r="D190" s="113"/>
      <c r="E190" s="127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181"/>
    </row>
    <row r="191" spans="1:18" s="35" customFormat="1" x14ac:dyDescent="0.4">
      <c r="A191" s="99"/>
      <c r="B191" s="100"/>
      <c r="C191" s="118"/>
      <c r="D191" s="113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181"/>
    </row>
    <row r="192" spans="1:18" x14ac:dyDescent="0.4">
      <c r="A192" s="101"/>
      <c r="B192" s="102"/>
      <c r="C192" s="119"/>
      <c r="D192" s="122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4" spans="5:17" x14ac:dyDescent="0.4"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</row>
    <row r="196" spans="5:17" x14ac:dyDescent="0.4">
      <c r="F196" s="71"/>
      <c r="G196" s="71"/>
      <c r="H196" s="71"/>
    </row>
    <row r="197" spans="5:17" x14ac:dyDescent="0.4">
      <c r="E197" s="81"/>
    </row>
    <row r="198" spans="5:17" x14ac:dyDescent="0.4">
      <c r="F198" s="72"/>
    </row>
  </sheetData>
  <mergeCells count="72">
    <mergeCell ref="B181:D181"/>
    <mergeCell ref="C32:C38"/>
    <mergeCell ref="A11:A38"/>
    <mergeCell ref="B11:B38"/>
    <mergeCell ref="N1:Q1"/>
    <mergeCell ref="N2:Q2"/>
    <mergeCell ref="N3:Q3"/>
    <mergeCell ref="N4:Q4"/>
    <mergeCell ref="C18:C24"/>
    <mergeCell ref="E181:H181"/>
    <mergeCell ref="I181:K181"/>
    <mergeCell ref="A5:Q5"/>
    <mergeCell ref="A6:Q6"/>
    <mergeCell ref="P7:Q7"/>
    <mergeCell ref="F8:Q8"/>
    <mergeCell ref="C11:C17"/>
    <mergeCell ref="D8:D9"/>
    <mergeCell ref="E8:E9"/>
    <mergeCell ref="A8:A9"/>
    <mergeCell ref="B8:B9"/>
    <mergeCell ref="C8:C9"/>
    <mergeCell ref="B74:B80"/>
    <mergeCell ref="C74:C80"/>
    <mergeCell ref="A74:A80"/>
    <mergeCell ref="C95:C101"/>
    <mergeCell ref="A81:A94"/>
    <mergeCell ref="B81:B94"/>
    <mergeCell ref="C81:C87"/>
    <mergeCell ref="A109:A115"/>
    <mergeCell ref="A102:A108"/>
    <mergeCell ref="B95:B150"/>
    <mergeCell ref="A95:A101"/>
    <mergeCell ref="C88:C94"/>
    <mergeCell ref="C102:C108"/>
    <mergeCell ref="A144:A150"/>
    <mergeCell ref="A137:A143"/>
    <mergeCell ref="A130:A136"/>
    <mergeCell ref="A123:A129"/>
    <mergeCell ref="C144:C150"/>
    <mergeCell ref="A116:A122"/>
    <mergeCell ref="C116:C122"/>
    <mergeCell ref="C123:C129"/>
    <mergeCell ref="C130:C136"/>
    <mergeCell ref="C137:C143"/>
    <mergeCell ref="A151:A157"/>
    <mergeCell ref="B151:B157"/>
    <mergeCell ref="C151:C157"/>
    <mergeCell ref="A172:B178"/>
    <mergeCell ref="C172:C178"/>
    <mergeCell ref="C158:C164"/>
    <mergeCell ref="A165:A171"/>
    <mergeCell ref="B165:B171"/>
    <mergeCell ref="C165:C171"/>
    <mergeCell ref="A158:A164"/>
    <mergeCell ref="B158:B164"/>
    <mergeCell ref="R11:S11"/>
    <mergeCell ref="R18:S18"/>
    <mergeCell ref="C25:C31"/>
    <mergeCell ref="R60:S60"/>
    <mergeCell ref="C109:C115"/>
    <mergeCell ref="C60:C66"/>
    <mergeCell ref="R39:S39"/>
    <mergeCell ref="C39:C45"/>
    <mergeCell ref="A39:A45"/>
    <mergeCell ref="A67:A73"/>
    <mergeCell ref="B67:B73"/>
    <mergeCell ref="C67:C73"/>
    <mergeCell ref="C46:C52"/>
    <mergeCell ref="A46:A66"/>
    <mergeCell ref="B46:B66"/>
    <mergeCell ref="C53:C59"/>
    <mergeCell ref="B39:B45"/>
  </mergeCells>
  <pageMargins left="0.23622047244094491" right="0.23622047244094491" top="0.39370078740157483" bottom="0.39370078740157483" header="0.31496062992125984" footer="0.31496062992125984"/>
  <pageSetup paperSize="9" scale="2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07.2019 с выделением</vt:lpstr>
      <vt:lpstr>07.2019 (2)</vt:lpstr>
      <vt:lpstr>11.04.2022</vt:lpstr>
      <vt:lpstr>'11.04.2022'!Заголовки_для_печати</vt:lpstr>
      <vt:lpstr>'07.2019 (2)'!Область_печати</vt:lpstr>
      <vt:lpstr>'07.2019 с выделением'!Область_печати</vt:lpstr>
      <vt:lpstr>'11.04.2022'!Область_печати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2022-05-25T06:40:38Z</dcterms:modified>
</cp:coreProperties>
</file>