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filterPrivacy="1" codeName="ЭтаКнига" defaultThemeVersion="124226"/>
  <xr:revisionPtr revIDLastSave="0" documentId="13_ncr:1_{74302EAC-A7F8-487D-B47C-E4B7FA529268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комплексный план на 2022 год " sheetId="16" r:id="rId1"/>
    <sheet name="07.2019 с выделением" sheetId="19" state="hidden" r:id="rId2"/>
    <sheet name="07.2019 (2)" sheetId="20" state="hidden" r:id="rId3"/>
  </sheets>
  <definedNames>
    <definedName name="_xlnm.Print_Area" localSheetId="2">'07.2019 (2)'!$A$1:$Q$97</definedName>
    <definedName name="_xlnm.Print_Area" localSheetId="1">'07.2019 с выделением'!$A$1:$Q$97</definedName>
    <definedName name="_xlnm.Print_Area" localSheetId="0">'комплексный план на 2022 год '!$A$1:$Q$42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6" i="16" l="1"/>
  <c r="R23" i="16"/>
  <c r="P91" i="20" l="1"/>
  <c r="N91" i="20"/>
  <c r="M91" i="20"/>
  <c r="L91" i="20"/>
  <c r="J91" i="20"/>
  <c r="F91" i="20"/>
  <c r="Q90" i="20"/>
  <c r="P90" i="20"/>
  <c r="O90" i="20"/>
  <c r="N90" i="20"/>
  <c r="M90" i="20"/>
  <c r="L90" i="20"/>
  <c r="K90" i="20"/>
  <c r="J90" i="20"/>
  <c r="I90" i="20"/>
  <c r="H90" i="20"/>
  <c r="G90" i="20"/>
  <c r="F90" i="20"/>
  <c r="E90" i="20" s="1"/>
  <c r="Q89" i="20"/>
  <c r="P89" i="20"/>
  <c r="O89" i="20"/>
  <c r="N89" i="20"/>
  <c r="M89" i="20"/>
  <c r="L89" i="20"/>
  <c r="K89" i="20"/>
  <c r="J89" i="20"/>
  <c r="I89" i="20"/>
  <c r="H89" i="20"/>
  <c r="G89" i="20"/>
  <c r="F89" i="20"/>
  <c r="P88" i="20"/>
  <c r="F88" i="20"/>
  <c r="P87" i="20"/>
  <c r="J87" i="20"/>
  <c r="Q86" i="20"/>
  <c r="Q84" i="20"/>
  <c r="E84" i="20" s="1"/>
  <c r="Q81" i="20"/>
  <c r="N81" i="20"/>
  <c r="M81" i="20"/>
  <c r="J81" i="20"/>
  <c r="J78" i="20" s="1"/>
  <c r="I81" i="20"/>
  <c r="H81" i="20"/>
  <c r="G81" i="20"/>
  <c r="R80" i="20"/>
  <c r="R78" i="20" s="1"/>
  <c r="Q80" i="20"/>
  <c r="Q87" i="20" s="1"/>
  <c r="N80" i="20"/>
  <c r="N87" i="20" s="1"/>
  <c r="M80" i="20"/>
  <c r="M87" i="20" s="1"/>
  <c r="L80" i="20"/>
  <c r="L78" i="20" s="1"/>
  <c r="I80" i="20"/>
  <c r="I87" i="20" s="1"/>
  <c r="H80" i="20"/>
  <c r="H78" i="20" s="1"/>
  <c r="G80" i="20"/>
  <c r="E79" i="20"/>
  <c r="P78" i="20"/>
  <c r="O78" i="20"/>
  <c r="K78" i="20"/>
  <c r="F78" i="20"/>
  <c r="E77" i="20"/>
  <c r="E76" i="20"/>
  <c r="E75" i="20"/>
  <c r="E74" i="20"/>
  <c r="E73" i="20"/>
  <c r="E72" i="20"/>
  <c r="Q71" i="20"/>
  <c r="P71" i="20"/>
  <c r="O71" i="20"/>
  <c r="N71" i="20"/>
  <c r="M71" i="20"/>
  <c r="L71" i="20"/>
  <c r="K71" i="20"/>
  <c r="J71" i="20"/>
  <c r="I71" i="20"/>
  <c r="H71" i="20"/>
  <c r="G71" i="20"/>
  <c r="F71" i="20"/>
  <c r="E70" i="20"/>
  <c r="E69" i="20"/>
  <c r="E68" i="20"/>
  <c r="E67" i="20"/>
  <c r="E66" i="20"/>
  <c r="E65" i="20"/>
  <c r="R64" i="20"/>
  <c r="Q64" i="20"/>
  <c r="P64" i="20"/>
  <c r="O64" i="20"/>
  <c r="N64" i="20"/>
  <c r="M64" i="20"/>
  <c r="L64" i="20"/>
  <c r="K64" i="20"/>
  <c r="J64" i="20"/>
  <c r="I64" i="20"/>
  <c r="H64" i="20"/>
  <c r="G64" i="20"/>
  <c r="F64" i="20"/>
  <c r="E63" i="20"/>
  <c r="E62" i="20"/>
  <c r="E61" i="20"/>
  <c r="E60" i="20"/>
  <c r="E59" i="20"/>
  <c r="E58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F57" i="20"/>
  <c r="R56" i="20"/>
  <c r="O56" i="20"/>
  <c r="O91" i="20" s="1"/>
  <c r="K56" i="20"/>
  <c r="K91" i="20" s="1"/>
  <c r="I56" i="20"/>
  <c r="I91" i="20" s="1"/>
  <c r="H56" i="20"/>
  <c r="H91" i="20" s="1"/>
  <c r="G56" i="20"/>
  <c r="G91" i="20" s="1"/>
  <c r="E55" i="20"/>
  <c r="E54" i="20"/>
  <c r="R53" i="20"/>
  <c r="R50" i="20" s="1"/>
  <c r="O53" i="20"/>
  <c r="O88" i="20" s="1"/>
  <c r="N53" i="20"/>
  <c r="M53" i="20"/>
  <c r="M50" i="20" s="1"/>
  <c r="L53" i="20"/>
  <c r="L50" i="20" s="1"/>
  <c r="K53" i="20"/>
  <c r="K88" i="20" s="1"/>
  <c r="J53" i="20"/>
  <c r="I53" i="20"/>
  <c r="I88" i="20" s="1"/>
  <c r="H53" i="20"/>
  <c r="G53" i="20"/>
  <c r="G50" i="20" s="1"/>
  <c r="E52" i="20"/>
  <c r="E51" i="20"/>
  <c r="Q50" i="20"/>
  <c r="P50" i="20"/>
  <c r="N50" i="20"/>
  <c r="K50" i="20"/>
  <c r="J50" i="20"/>
  <c r="F50" i="20"/>
  <c r="E49" i="20"/>
  <c r="E48" i="20"/>
  <c r="E47" i="20"/>
  <c r="Q46" i="20"/>
  <c r="E46" i="20"/>
  <c r="E45" i="20"/>
  <c r="E44" i="20"/>
  <c r="R43" i="20"/>
  <c r="Q43" i="20"/>
  <c r="P43" i="20"/>
  <c r="O43" i="20"/>
  <c r="N43" i="20"/>
  <c r="M43" i="20"/>
  <c r="L43" i="20"/>
  <c r="K43" i="20"/>
  <c r="J43" i="20"/>
  <c r="I43" i="20"/>
  <c r="H43" i="20"/>
  <c r="G43" i="20"/>
  <c r="F43" i="20"/>
  <c r="E42" i="20"/>
  <c r="E41" i="20"/>
  <c r="E40" i="20"/>
  <c r="E39" i="20"/>
  <c r="R38" i="20"/>
  <c r="R36" i="20" s="1"/>
  <c r="O38" i="20"/>
  <c r="O87" i="20" s="1"/>
  <c r="L38" i="20"/>
  <c r="L87" i="20" s="1"/>
  <c r="K38" i="20"/>
  <c r="K87" i="20" s="1"/>
  <c r="G38" i="20"/>
  <c r="F38" i="20"/>
  <c r="F87" i="20" s="1"/>
  <c r="P37" i="20"/>
  <c r="P86" i="20" s="1"/>
  <c r="P85" i="20" s="1"/>
  <c r="O37" i="20"/>
  <c r="O86" i="20" s="1"/>
  <c r="N37" i="20"/>
  <c r="N86" i="20" s="1"/>
  <c r="M37" i="20"/>
  <c r="M86" i="20" s="1"/>
  <c r="L37" i="20"/>
  <c r="L86" i="20" s="1"/>
  <c r="K37" i="20"/>
  <c r="K86" i="20" s="1"/>
  <c r="J37" i="20"/>
  <c r="J86" i="20" s="1"/>
  <c r="I37" i="20"/>
  <c r="I86" i="20" s="1"/>
  <c r="H37" i="20"/>
  <c r="H86" i="20" s="1"/>
  <c r="G37" i="20"/>
  <c r="G86" i="20" s="1"/>
  <c r="F37" i="20"/>
  <c r="F86" i="20" s="1"/>
  <c r="Q36" i="20"/>
  <c r="P36" i="20"/>
  <c r="E35" i="20"/>
  <c r="E34" i="20"/>
  <c r="E33" i="20"/>
  <c r="N32" i="20"/>
  <c r="M32" i="20"/>
  <c r="E31" i="20"/>
  <c r="E30" i="20"/>
  <c r="R29" i="20"/>
  <c r="Q29" i="20"/>
  <c r="P29" i="20"/>
  <c r="O29" i="20"/>
  <c r="L29" i="20"/>
  <c r="K29" i="20"/>
  <c r="J29" i="20"/>
  <c r="I29" i="20"/>
  <c r="H29" i="20"/>
  <c r="G29" i="20"/>
  <c r="F29" i="20"/>
  <c r="Q28" i="20"/>
  <c r="E28" i="20"/>
  <c r="E27" i="20"/>
  <c r="E26" i="20"/>
  <c r="Q25" i="20"/>
  <c r="M25" i="20"/>
  <c r="L25" i="20"/>
  <c r="E24" i="20"/>
  <c r="E23" i="20"/>
  <c r="R22" i="20"/>
  <c r="P22" i="20"/>
  <c r="O22" i="20"/>
  <c r="N22" i="20"/>
  <c r="L22" i="20"/>
  <c r="K22" i="20"/>
  <c r="J22" i="20"/>
  <c r="I22" i="20"/>
  <c r="H22" i="20"/>
  <c r="G22" i="20"/>
  <c r="F22" i="20"/>
  <c r="I78" i="20" l="1"/>
  <c r="E43" i="20"/>
  <c r="H36" i="20"/>
  <c r="M88" i="20"/>
  <c r="M85" i="20" s="1"/>
  <c r="N88" i="20"/>
  <c r="I36" i="20"/>
  <c r="H88" i="20"/>
  <c r="E64" i="20"/>
  <c r="E80" i="20"/>
  <c r="I85" i="20"/>
  <c r="O50" i="20"/>
  <c r="J88" i="20"/>
  <c r="J85" i="20" s="1"/>
  <c r="Q91" i="20"/>
  <c r="E91" i="20" s="1"/>
  <c r="G87" i="20"/>
  <c r="G78" i="20"/>
  <c r="E81" i="20"/>
  <c r="Q78" i="20"/>
  <c r="H87" i="20"/>
  <c r="Q22" i="20"/>
  <c r="H50" i="20"/>
  <c r="E57" i="20"/>
  <c r="N78" i="20"/>
  <c r="L36" i="20"/>
  <c r="L88" i="20"/>
  <c r="E32" i="20"/>
  <c r="M36" i="20"/>
  <c r="K85" i="20"/>
  <c r="O85" i="20"/>
  <c r="G88" i="20"/>
  <c r="E71" i="20"/>
  <c r="M78" i="20"/>
  <c r="E89" i="20"/>
  <c r="E86" i="20"/>
  <c r="F85" i="20"/>
  <c r="N85" i="20"/>
  <c r="L85" i="20"/>
  <c r="M22" i="20"/>
  <c r="E25" i="20"/>
  <c r="T25" i="20" s="1"/>
  <c r="J36" i="20"/>
  <c r="M29" i="20"/>
  <c r="G36" i="20"/>
  <c r="K36" i="20"/>
  <c r="O36" i="20"/>
  <c r="E37" i="20"/>
  <c r="E38" i="20"/>
  <c r="I50" i="20"/>
  <c r="E50" i="20" s="1"/>
  <c r="E53" i="20"/>
  <c r="Q88" i="20"/>
  <c r="Q85" i="20" s="1"/>
  <c r="N29" i="20"/>
  <c r="E56" i="20"/>
  <c r="F36" i="20"/>
  <c r="N36" i="20"/>
  <c r="P91" i="19"/>
  <c r="N91" i="19"/>
  <c r="M91" i="19"/>
  <c r="L91" i="19"/>
  <c r="J91" i="19"/>
  <c r="F91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P88" i="19"/>
  <c r="F88" i="19"/>
  <c r="P87" i="19"/>
  <c r="J87" i="19"/>
  <c r="Q86" i="19"/>
  <c r="Q84" i="19"/>
  <c r="E84" i="19" s="1"/>
  <c r="Q81" i="19"/>
  <c r="N81" i="19"/>
  <c r="M81" i="19"/>
  <c r="J81" i="19"/>
  <c r="J78" i="19" s="1"/>
  <c r="I81" i="19"/>
  <c r="H81" i="19"/>
  <c r="G81" i="19"/>
  <c r="R80" i="19"/>
  <c r="R78" i="19" s="1"/>
  <c r="Q80" i="19"/>
  <c r="Q87" i="19" s="1"/>
  <c r="N80" i="19"/>
  <c r="N87" i="19" s="1"/>
  <c r="M80" i="19"/>
  <c r="M87" i="19" s="1"/>
  <c r="L80" i="19"/>
  <c r="L78" i="19" s="1"/>
  <c r="I80" i="19"/>
  <c r="I87" i="19" s="1"/>
  <c r="H80" i="19"/>
  <c r="H87" i="19" s="1"/>
  <c r="G80" i="19"/>
  <c r="E79" i="19"/>
  <c r="P78" i="19"/>
  <c r="O78" i="19"/>
  <c r="K78" i="19"/>
  <c r="G78" i="19"/>
  <c r="F78" i="19"/>
  <c r="E77" i="19"/>
  <c r="E76" i="19"/>
  <c r="E75" i="19"/>
  <c r="E74" i="19"/>
  <c r="E73" i="19"/>
  <c r="E72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0" i="19"/>
  <c r="E69" i="19"/>
  <c r="E68" i="19"/>
  <c r="E67" i="19"/>
  <c r="E66" i="19"/>
  <c r="E65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3" i="19"/>
  <c r="E62" i="19"/>
  <c r="E61" i="19"/>
  <c r="E60" i="19"/>
  <c r="E59" i="19"/>
  <c r="E58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R56" i="19"/>
  <c r="O56" i="19"/>
  <c r="O91" i="19" s="1"/>
  <c r="K56" i="19"/>
  <c r="K91" i="19" s="1"/>
  <c r="I56" i="19"/>
  <c r="I91" i="19" s="1"/>
  <c r="H56" i="19"/>
  <c r="H91" i="19" s="1"/>
  <c r="G56" i="19"/>
  <c r="G91" i="19" s="1"/>
  <c r="E55" i="19"/>
  <c r="E54" i="19"/>
  <c r="R53" i="19"/>
  <c r="O53" i="19"/>
  <c r="O88" i="19" s="1"/>
  <c r="N53" i="19"/>
  <c r="N50" i="19" s="1"/>
  <c r="M53" i="19"/>
  <c r="L53" i="19"/>
  <c r="K53" i="19"/>
  <c r="K88" i="19" s="1"/>
  <c r="J53" i="19"/>
  <c r="J88" i="19" s="1"/>
  <c r="I53" i="19"/>
  <c r="I88" i="19" s="1"/>
  <c r="H53" i="19"/>
  <c r="H50" i="19" s="1"/>
  <c r="G53" i="19"/>
  <c r="G88" i="19" s="1"/>
  <c r="E52" i="19"/>
  <c r="E51" i="19"/>
  <c r="R50" i="19"/>
  <c r="Q50" i="19"/>
  <c r="P50" i="19"/>
  <c r="M50" i="19"/>
  <c r="L50" i="19"/>
  <c r="F50" i="19"/>
  <c r="E49" i="19"/>
  <c r="E48" i="19"/>
  <c r="E47" i="19"/>
  <c r="Q46" i="19"/>
  <c r="E46" i="19" s="1"/>
  <c r="E45" i="19"/>
  <c r="E44" i="19"/>
  <c r="R43" i="19"/>
  <c r="Q43" i="19"/>
  <c r="P43" i="19"/>
  <c r="O43" i="19"/>
  <c r="N43" i="19"/>
  <c r="M43" i="19"/>
  <c r="L43" i="19"/>
  <c r="K43" i="19"/>
  <c r="J43" i="19"/>
  <c r="I43" i="19"/>
  <c r="H43" i="19"/>
  <c r="G43" i="19"/>
  <c r="F43" i="19"/>
  <c r="E42" i="19"/>
  <c r="E41" i="19"/>
  <c r="E40" i="19"/>
  <c r="E39" i="19"/>
  <c r="R38" i="19"/>
  <c r="R36" i="19" s="1"/>
  <c r="O38" i="19"/>
  <c r="O87" i="19" s="1"/>
  <c r="L38" i="19"/>
  <c r="K38" i="19"/>
  <c r="K87" i="19" s="1"/>
  <c r="G38" i="19"/>
  <c r="G87" i="19" s="1"/>
  <c r="F38" i="19"/>
  <c r="F87" i="19" s="1"/>
  <c r="P37" i="19"/>
  <c r="P86" i="19" s="1"/>
  <c r="O37" i="19"/>
  <c r="O86" i="19" s="1"/>
  <c r="N37" i="19"/>
  <c r="N86" i="19" s="1"/>
  <c r="M37" i="19"/>
  <c r="M86" i="19" s="1"/>
  <c r="L37" i="19"/>
  <c r="L86" i="19" s="1"/>
  <c r="K37" i="19"/>
  <c r="K86" i="19" s="1"/>
  <c r="J37" i="19"/>
  <c r="J86" i="19" s="1"/>
  <c r="I37" i="19"/>
  <c r="I86" i="19" s="1"/>
  <c r="H37" i="19"/>
  <c r="H86" i="19" s="1"/>
  <c r="G37" i="19"/>
  <c r="G86" i="19" s="1"/>
  <c r="F37" i="19"/>
  <c r="F86" i="19" s="1"/>
  <c r="Q36" i="19"/>
  <c r="L36" i="19"/>
  <c r="E35" i="19"/>
  <c r="E34" i="19"/>
  <c r="E33" i="19"/>
  <c r="N32" i="19"/>
  <c r="M32" i="19"/>
  <c r="E31" i="19"/>
  <c r="E30" i="19"/>
  <c r="R29" i="19"/>
  <c r="Q29" i="19"/>
  <c r="P29" i="19"/>
  <c r="O29" i="19"/>
  <c r="N29" i="19"/>
  <c r="L29" i="19"/>
  <c r="K29" i="19"/>
  <c r="J29" i="19"/>
  <c r="I29" i="19"/>
  <c r="H29" i="19"/>
  <c r="G29" i="19"/>
  <c r="F29" i="19"/>
  <c r="Q28" i="19"/>
  <c r="Q91" i="19" s="1"/>
  <c r="E27" i="19"/>
  <c r="E26" i="19"/>
  <c r="Q25" i="19"/>
  <c r="M25" i="19"/>
  <c r="M22" i="19" s="1"/>
  <c r="L25" i="19"/>
  <c r="E24" i="19"/>
  <c r="E23" i="19"/>
  <c r="R22" i="19"/>
  <c r="P22" i="19"/>
  <c r="O22" i="19"/>
  <c r="N22" i="19"/>
  <c r="K22" i="19"/>
  <c r="J22" i="19"/>
  <c r="I22" i="19"/>
  <c r="H22" i="19"/>
  <c r="G22" i="19"/>
  <c r="F22" i="19"/>
  <c r="H85" i="20" l="1"/>
  <c r="J50" i="19"/>
  <c r="E57" i="19"/>
  <c r="E22" i="20"/>
  <c r="G85" i="20"/>
  <c r="L88" i="19"/>
  <c r="N88" i="19"/>
  <c r="N85" i="19" s="1"/>
  <c r="E87" i="20"/>
  <c r="G36" i="19"/>
  <c r="Q88" i="19"/>
  <c r="Q85" i="19" s="1"/>
  <c r="H36" i="19"/>
  <c r="I85" i="19"/>
  <c r="H88" i="19"/>
  <c r="H85" i="19" s="1"/>
  <c r="E78" i="20"/>
  <c r="P36" i="19"/>
  <c r="E89" i="19"/>
  <c r="M36" i="19"/>
  <c r="E56" i="19"/>
  <c r="M78" i="19"/>
  <c r="E29" i="20"/>
  <c r="G85" i="19"/>
  <c r="O85" i="19"/>
  <c r="E43" i="19"/>
  <c r="E71" i="19"/>
  <c r="N78" i="19"/>
  <c r="J85" i="19"/>
  <c r="E80" i="19"/>
  <c r="E81" i="19"/>
  <c r="I36" i="19"/>
  <c r="K85" i="19"/>
  <c r="Q22" i="19"/>
  <c r="E32" i="19"/>
  <c r="K36" i="19"/>
  <c r="P85" i="19"/>
  <c r="L87" i="19"/>
  <c r="I50" i="19"/>
  <c r="E64" i="19"/>
  <c r="E90" i="19"/>
  <c r="E88" i="20"/>
  <c r="E85" i="20"/>
  <c r="E36" i="20"/>
  <c r="E86" i="19"/>
  <c r="F85" i="19"/>
  <c r="E91" i="19"/>
  <c r="E87" i="19"/>
  <c r="M29" i="19"/>
  <c r="E29" i="19" s="1"/>
  <c r="O36" i="19"/>
  <c r="E37" i="19"/>
  <c r="E38" i="19"/>
  <c r="E53" i="19"/>
  <c r="M88" i="19"/>
  <c r="M85" i="19" s="1"/>
  <c r="L22" i="19"/>
  <c r="E28" i="19"/>
  <c r="G50" i="19"/>
  <c r="K50" i="19"/>
  <c r="O50" i="19"/>
  <c r="H78" i="19"/>
  <c r="E25" i="19"/>
  <c r="T25" i="19" s="1"/>
  <c r="F36" i="19"/>
  <c r="J36" i="19"/>
  <c r="N36" i="19"/>
  <c r="I78" i="19"/>
  <c r="Q78" i="19"/>
  <c r="L85" i="19" l="1"/>
  <c r="E50" i="19"/>
  <c r="E22" i="19"/>
  <c r="E78" i="19"/>
  <c r="E88" i="19"/>
  <c r="E36" i="19"/>
  <c r="E85" i="19"/>
</calcChain>
</file>

<file path=xl/sharedStrings.xml><?xml version="1.0" encoding="utf-8"?>
<sst xmlns="http://schemas.openxmlformats.org/spreadsheetml/2006/main" count="335" uniqueCount="83">
  <si>
    <t>всего</t>
  </si>
  <si>
    <t>местный бюджет</t>
  </si>
  <si>
    <t>средства по Соглашениям по передаче полномочий</t>
  </si>
  <si>
    <t>Всего по муниципальной программе</t>
  </si>
  <si>
    <t>иные источники</t>
  </si>
  <si>
    <t>Источники финансирования</t>
  </si>
  <si>
    <t>федеральный бюджет</t>
  </si>
  <si>
    <t>бюджет автономного округа</t>
  </si>
  <si>
    <t>2</t>
  </si>
  <si>
    <t>3</t>
  </si>
  <si>
    <t>4</t>
  </si>
  <si>
    <t>Основное мероприятие:
Обеспечение деятельности для эффективного и качественного исполнения полномочий администрации Нефтеюганского района                                                                                                                                                                                                                                                                                (1)</t>
  </si>
  <si>
    <t xml:space="preserve"> Основное мероприятие:
Проведение работ по формированию и оценке земельных участков для эффективного планирования и осуществления муниципального земельного контроля, сформированных и предоставленных земельных участков физическим и юридическим лицам                                                                                                                                                                                                                                                                                                                                                                                                                                                                                                                                                      (2)</t>
  </si>
  <si>
    <t>Основное мероприятие:
Осуществление полномочий в сфере государственной регистрации актов гражданского состояния                                                                                                                                                                                                                                                                                                                                                  (3)</t>
  </si>
  <si>
    <t>Основное мероприятие:
Осуществление полномочий  по хранению, комплектованию архивных документов, относящихся к государственной собственности автономного округа, создание нормативных условий для хранения архивных документов, обеспечение сохранности архивных документов, хранящихся в муниципальном архиве, развитие информационных технологий в области архивного дела, популяризация архивных документов                                                                                                                                                                                               (4)</t>
  </si>
  <si>
    <t>Основное мероприятие:
Повышение квалификации, формирование резервов управленческих кадров муниципального образования                                                                                                                                                                                                                                                                                                                          (5,6)</t>
  </si>
  <si>
    <t>Основное мероприятие:
Проведение мониторинга о ходе реализации мероприятий в органах местного самоуправления Нефтеюганского района по противодействию коррупции, подготовка и размещение информации о  деятельности  органов местного  самоуправления Нефтеюганского района в местных  печатных и электронных  СМИ                                                                                                                                                                                                                                                                                                                                                                                                                         (7)</t>
  </si>
  <si>
    <t>Основное мероприятие:
Проведение конкурса среди муниципальных служащих «Лучший муниципальный служащий муниципального образования Нефтеюганский район»                                                                                                                                                                                                                                        (8)</t>
  </si>
  <si>
    <t>Всего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</si>
  <si>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</si>
  <si>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</si>
  <si>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</si>
  <si>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</si>
  <si>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</si>
  <si>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</si>
  <si>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</si>
  <si>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</si>
  <si>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</si>
  <si>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</si>
  <si>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</si>
  <si>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</si>
  <si>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СОГЛАСОВАНО</t>
  </si>
  <si>
    <t>(куратор ответственного исполнителя)</t>
  </si>
  <si>
    <t>(куратор соисполнителя)</t>
  </si>
  <si>
    <t xml:space="preserve">КОМПЛЕКСНЫЙ ПЛАН </t>
  </si>
  <si>
    <t>тыс.рублей</t>
  </si>
  <si>
    <t>средства поселений</t>
  </si>
  <si>
    <t>Финансовые затраты на реализацию муниципальной программы (планируемое освоение)</t>
  </si>
  <si>
    <t xml:space="preserve">Наименование мероприятия </t>
  </si>
  <si>
    <t xml:space="preserve">№ </t>
  </si>
  <si>
    <t>Ответственный исполнитель, соисполнитель мероприятия (структурное подразделение, ФИО, должность, № тел.)</t>
  </si>
  <si>
    <t>Сумма в программе</t>
  </si>
  <si>
    <t>5</t>
  </si>
  <si>
    <t>6</t>
  </si>
  <si>
    <t>7</t>
  </si>
  <si>
    <t>8</t>
  </si>
  <si>
    <t>Первый заместитель главы района</t>
  </si>
  <si>
    <t>Директор департамента имущественных отношений  - заместитель главы района</t>
  </si>
  <si>
    <t>Заместитель главы района</t>
  </si>
  <si>
    <t>Начальник управления по учету и отчетности - главный бухгалтер</t>
  </si>
  <si>
    <t>Т.П.Раздрогина</t>
  </si>
  <si>
    <t xml:space="preserve"> Отдел кадров и муниципальной службы - начальник отдела М.В.Пинчукова 250-136</t>
  </si>
  <si>
    <t>Отдел ЗАГС/администрации городских и сельских поселений -                                                                                                                                                                                                                                                                                                                                                                                                                                         заведующий отделом                                                                                                                                                                                                                                                                                                                                                                                  Р.А. Петелина 225-583</t>
  </si>
  <si>
    <t>Директор департамента финансов -  заместитель главы района</t>
  </si>
  <si>
    <t>___________________________ М.Ф.Бузунова</t>
  </si>
  <si>
    <t>___________________________ С.А.Кудашкин</t>
  </si>
  <si>
    <t>____________________________О.В. Бородкина</t>
  </si>
  <si>
    <t>к муниципальной программе  «Совершенствование муниципального управления в Нефтеюганском районе на 2019-2024 годы и на период 
до 2030 года» на 2019 год</t>
  </si>
  <si>
    <t>Основное мероприятие:
Совершенствование структуры администрации Нефтеюганского района                                                                                                                                                              (9)</t>
  </si>
  <si>
    <t>9</t>
  </si>
  <si>
    <t>Основное мероприятие:
Обеспечение деятельности  Муниципального Учреждения «Многофункциональный центр предоставления государственных и муниципальных услуг» Нефтеюганского района                                                                                                                                                                       (10,11)</t>
  </si>
  <si>
    <t>Управление по учету и отчетности АНР - главный бухгалтер                                                                                                                                                                                                                                                                                                                                                                                                                              Т.П.Раздрогина 250-152;                                                                                                                                                                                                                                                                                                                                                                                                                             256-821;                                                                                                                                                                                                                                                                                                                                                                                                                    МКУ "Управление по делам администрации  Нефтеюганского района" - главный бухгалтер                                                                                                                                                                                                                                                                                                                                         C.И. Белоусова 290-030;                                   290-032</t>
  </si>
  <si>
    <t>Комитет по земельным ресурсам департамента градостраительства и землепользования администрации Нефтеюганского района  - председатель комитета                  Т.А. Вязникова 
250-819</t>
  </si>
  <si>
    <t>МУ «Многофункциональный центр предоставления муниципальных и государственных услуг» Нефтеюганского района - главный бухгалтер С.В.Тяжельникова 316-303</t>
  </si>
  <si>
    <t>____________________________В.Г. Михалев</t>
  </si>
  <si>
    <t>Отдел по делам архивов - начальник отдела/ДЭ.В.Лозовцева 233-851</t>
  </si>
  <si>
    <t>Исполнитель:</t>
  </si>
  <si>
    <t>тел.</t>
  </si>
  <si>
    <t>______.2019</t>
  </si>
  <si>
    <t>Основное мероприятие:
Предоставление субсидий садоводческим или огородническим товариществам на возмещение части затрат в связи с выполнением работ по инженерным изысканиям территории таких товариществ                                                                                                                                                                                                                                                                                (1)</t>
  </si>
  <si>
    <t xml:space="preserve"> Основное мероприятие:
Предоставление субсидии на возмещение затрат в связм с выполнением работ по ремонту автомобильных дорог в границах садоводческих или огороднических некоммерческих товариществ, расположенных на территории Нефтеюганского района, примыкающих к дорогам общего пользования федерального, регионального и межмуниципального, местного значения и к ведомственным (частным) дорогам до ближайщего земельного участка, предназначенного для ведения садоводства или огородничества                                                                                                                                                                                                                                                                                                                                                                                                                                                                                                                                                     (2)</t>
  </si>
  <si>
    <t>Председатель комитета по земельным ресурсам
администрации Нефтеюганского района</t>
  </si>
  <si>
    <t>А.В. Дода</t>
  </si>
  <si>
    <t>Департамент строительства и жилищно-коммунального комплекса администрации Нефтеюганского района
заместитель директора департамента
К.В. Юношева 250194</t>
  </si>
  <si>
    <t>Комитет по земельным ресурсам администрации Нефтеюганского района  председатель комитета 
А.В. Дода 250819</t>
  </si>
  <si>
    <t>Исполнитель: Хорькова О.В.</t>
  </si>
  <si>
    <t>тел.29-00-54</t>
  </si>
  <si>
    <t>___________________________О.В.Бородкина</t>
  </si>
  <si>
    <t xml:space="preserve">Директор департамента строительства и ЖКК – заместитель главы района 
</t>
  </si>
  <si>
    <t xml:space="preserve">___________________________ В.С.Кошаков </t>
  </si>
  <si>
    <t>к муниципальной программе  «Поддержка садоводства и огородничества на территории Нефтеюганского района в 2020-2024 года и на период до 2030 года" 
 на 2022 год</t>
  </si>
  <si>
    <t xml:space="preserve">КОМПЛЕКСНЫЙ ПЛАН                                                                                                                                     </t>
  </si>
  <si>
    <t>17 марта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</si>
</sst>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_р_._-;_-@_-"/>
    <numFmt numFmtId="167" formatCode="#,##0.0000"/>
    <numFmt numFmtId="168" formatCode="#,##0.00000"/>
    <numFmt numFmtId="169" formatCode="_-* #,##0.00000_р_._-;\-* #,##0.00000_р_._-;_-* &quot;-&quot;??_р_._-;_-@_-"/>
    <numFmt numFmtId="170" formatCode="_-* #,##0.000000000\ _₽_-;\-* #,##0.000000000\ _₽_-;_-* &quot;-&quot;??\ _₽_-;_-@_-"/>
    <numFmt numFmtId="171" formatCode="_-* #,##0.0000000_р_._-;\-* #,##0.0000000_р_._-;_-* &quot;-&quot;??_р_._-;_-@_-"/>
    <numFmt numFmtId="172" formatCode="#,##0.00000\ _₽"/>
  </numFmts>
  <fonts count="3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3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5"/>
      <color rgb="FFFF0000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4"/>
      <name val="Calibri"/>
      <family val="2"/>
      <scheme val="minor"/>
    </font>
    <font>
      <sz val="18"/>
      <name val="Times New Roman"/>
      <family val="1"/>
      <charset val="204"/>
    </font>
    <font>
      <sz val="25"/>
      <color rgb="FFFF0000"/>
      <name val="Calibri"/>
      <family val="2"/>
      <scheme val="minor"/>
    </font>
    <font>
      <sz val="15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3"/>
      <name val="Calibri"/>
      <family val="2"/>
      <scheme val="minor"/>
    </font>
    <font>
      <i/>
      <sz val="2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6" fillId="0" borderId="0" applyFont="0" applyFill="0" applyBorder="0" applyAlignment="0" applyProtection="0"/>
  </cellStyleXfs>
  <cellXfs count="130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 applyBorder="1" applyAlignment="1"/>
    <xf numFmtId="4" fontId="7" fillId="0" borderId="0" xfId="0" applyNumberFormat="1" applyFont="1" applyAlignment="1">
      <alignment horizontal="center"/>
    </xf>
    <xf numFmtId="0" fontId="8" fillId="0" borderId="0" xfId="0" applyFont="1"/>
    <xf numFmtId="0" fontId="10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6" fontId="12" fillId="3" borderId="1" xfId="0" applyNumberFormat="1" applyFont="1" applyFill="1" applyBorder="1" applyAlignment="1">
      <alignment horizontal="left" vertical="center" wrapText="1"/>
    </xf>
    <xf numFmtId="0" fontId="8" fillId="2" borderId="0" xfId="0" applyFont="1" applyFill="1"/>
    <xf numFmtId="166" fontId="5" fillId="2" borderId="1" xfId="0" applyNumberFormat="1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165" fontId="14" fillId="2" borderId="0" xfId="0" applyNumberFormat="1" applyFont="1" applyFill="1"/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Alignment="1"/>
    <xf numFmtId="0" fontId="15" fillId="0" borderId="0" xfId="0" applyFont="1" applyAlignment="1">
      <alignment horizontal="left"/>
    </xf>
    <xf numFmtId="0" fontId="11" fillId="0" borderId="0" xfId="0" applyFont="1" applyBorder="1" applyAlignment="1">
      <alignment wrapText="1"/>
    </xf>
    <xf numFmtId="0" fontId="16" fillId="0" borderId="0" xfId="0" applyFont="1" applyBorder="1" applyAlignment="1"/>
    <xf numFmtId="2" fontId="11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/>
    <xf numFmtId="0" fontId="16" fillId="0" borderId="0" xfId="0" applyFont="1" applyBorder="1" applyAlignment="1">
      <alignment wrapText="1"/>
    </xf>
    <xf numFmtId="0" fontId="0" fillId="0" borderId="0" xfId="0" applyAlignment="1">
      <alignment horizontal="left"/>
    </xf>
    <xf numFmtId="167" fontId="8" fillId="2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/>
    </xf>
    <xf numFmtId="4" fontId="19" fillId="0" borderId="0" xfId="0" applyNumberFormat="1" applyFont="1" applyAlignment="1">
      <alignment horizontal="center"/>
    </xf>
    <xf numFmtId="166" fontId="9" fillId="3" borderId="1" xfId="0" applyNumberFormat="1" applyFont="1" applyFill="1" applyBorder="1" applyAlignment="1">
      <alignment horizontal="left" vertical="center" wrapText="1"/>
    </xf>
    <xf numFmtId="0" fontId="21" fillId="2" borderId="0" xfId="0" applyFont="1" applyFill="1"/>
    <xf numFmtId="166" fontId="11" fillId="2" borderId="1" xfId="0" applyNumberFormat="1" applyFont="1" applyFill="1" applyBorder="1" applyAlignment="1">
      <alignment horizontal="left" vertical="center" wrapText="1"/>
    </xf>
    <xf numFmtId="0" fontId="23" fillId="2" borderId="0" xfId="0" applyFont="1" applyFill="1"/>
    <xf numFmtId="0" fontId="24" fillId="2" borderId="1" xfId="0" applyFont="1" applyFill="1" applyBorder="1" applyAlignment="1">
      <alignment horizontal="center" vertical="center" wrapText="1"/>
    </xf>
    <xf numFmtId="4" fontId="27" fillId="0" borderId="1" xfId="0" applyNumberFormat="1" applyFont="1" applyFill="1" applyBorder="1" applyAlignment="1">
      <alignment horizontal="center" vertical="center" wrapText="1"/>
    </xf>
    <xf numFmtId="165" fontId="28" fillId="3" borderId="1" xfId="0" applyNumberFormat="1" applyFont="1" applyFill="1" applyBorder="1" applyAlignment="1">
      <alignment vertical="center"/>
    </xf>
    <xf numFmtId="168" fontId="7" fillId="3" borderId="1" xfId="0" applyNumberFormat="1" applyFont="1" applyFill="1" applyBorder="1" applyAlignment="1">
      <alignment horizontal="center"/>
    </xf>
    <xf numFmtId="168" fontId="7" fillId="2" borderId="1" xfId="0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4" fontId="8" fillId="2" borderId="0" xfId="0" applyNumberFormat="1" applyFont="1" applyFill="1"/>
    <xf numFmtId="165" fontId="31" fillId="2" borderId="1" xfId="0" applyNumberFormat="1" applyFont="1" applyFill="1" applyBorder="1" applyAlignment="1">
      <alignment vertical="center"/>
    </xf>
    <xf numFmtId="165" fontId="30" fillId="3" borderId="1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165" fontId="30" fillId="3" borderId="1" xfId="0" applyNumberFormat="1" applyFont="1" applyFill="1" applyBorder="1" applyAlignment="1">
      <alignment vertical="center"/>
    </xf>
    <xf numFmtId="168" fontId="12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vertical="center"/>
    </xf>
    <xf numFmtId="165" fontId="29" fillId="2" borderId="1" xfId="0" applyNumberFormat="1" applyFont="1" applyFill="1" applyBorder="1" applyAlignment="1">
      <alignment vertical="center"/>
    </xf>
    <xf numFmtId="165" fontId="17" fillId="2" borderId="1" xfId="0" applyNumberFormat="1" applyFont="1" applyFill="1" applyBorder="1" applyAlignment="1">
      <alignment vertical="center"/>
    </xf>
    <xf numFmtId="165" fontId="30" fillId="2" borderId="1" xfId="0" applyNumberFormat="1" applyFont="1" applyFill="1" applyBorder="1" applyAlignment="1">
      <alignment vertical="center"/>
    </xf>
    <xf numFmtId="166" fontId="32" fillId="2" borderId="0" xfId="0" applyNumberFormat="1" applyFont="1" applyFill="1" applyBorder="1" applyAlignment="1">
      <alignment horizontal="left" vertical="center" wrapText="1"/>
    </xf>
    <xf numFmtId="166" fontId="32" fillId="2" borderId="0" xfId="0" applyNumberFormat="1" applyFont="1" applyFill="1" applyBorder="1" applyAlignment="1">
      <alignment horizontal="left" vertical="center"/>
    </xf>
    <xf numFmtId="166" fontId="12" fillId="2" borderId="0" xfId="0" applyNumberFormat="1" applyFont="1" applyFill="1" applyBorder="1" applyAlignment="1">
      <alignment horizontal="left" vertical="center" wrapText="1"/>
    </xf>
    <xf numFmtId="165" fontId="28" fillId="2" borderId="0" xfId="0" applyNumberFormat="1" applyFont="1" applyFill="1" applyBorder="1" applyAlignment="1">
      <alignment vertical="center"/>
    </xf>
    <xf numFmtId="168" fontId="12" fillId="2" borderId="0" xfId="0" applyNumberFormat="1" applyFont="1" applyFill="1" applyBorder="1" applyAlignment="1">
      <alignment horizontal="center" vertical="center"/>
    </xf>
    <xf numFmtId="0" fontId="33" fillId="0" borderId="0" xfId="0" applyFont="1"/>
    <xf numFmtId="0" fontId="33" fillId="0" borderId="0" xfId="0" applyFont="1" applyAlignment="1">
      <alignment horizontal="left"/>
    </xf>
    <xf numFmtId="4" fontId="34" fillId="0" borderId="0" xfId="0" applyNumberFormat="1" applyFont="1" applyAlignment="1">
      <alignment horizontal="center"/>
    </xf>
    <xf numFmtId="165" fontId="33" fillId="0" borderId="0" xfId="0" applyNumberFormat="1" applyFont="1"/>
    <xf numFmtId="166" fontId="12" fillId="2" borderId="1" xfId="0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left"/>
    </xf>
    <xf numFmtId="165" fontId="17" fillId="0" borderId="1" xfId="0" applyNumberFormat="1" applyFont="1" applyFill="1" applyBorder="1" applyAlignment="1">
      <alignment vertical="center"/>
    </xf>
    <xf numFmtId="165" fontId="29" fillId="0" borderId="1" xfId="0" applyNumberFormat="1" applyFont="1" applyFill="1" applyBorder="1" applyAlignment="1">
      <alignment vertical="center"/>
    </xf>
    <xf numFmtId="164" fontId="0" fillId="0" borderId="0" xfId="0" applyNumberFormat="1"/>
    <xf numFmtId="1" fontId="0" fillId="0" borderId="0" xfId="0" applyNumberFormat="1"/>
    <xf numFmtId="165" fontId="17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168" fontId="13" fillId="0" borderId="1" xfId="0" applyNumberFormat="1" applyFont="1" applyFill="1" applyBorder="1" applyAlignment="1">
      <alignment horizontal="center"/>
    </xf>
    <xf numFmtId="4" fontId="8" fillId="0" borderId="0" xfId="0" applyNumberFormat="1" applyFont="1" applyFill="1"/>
    <xf numFmtId="165" fontId="31" fillId="0" borderId="1" xfId="0" applyNumberFormat="1" applyFont="1" applyFill="1" applyBorder="1" applyAlignment="1">
      <alignment vertical="center"/>
    </xf>
    <xf numFmtId="169" fontId="29" fillId="0" borderId="1" xfId="0" applyNumberFormat="1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170" fontId="0" fillId="0" borderId="0" xfId="0" applyNumberFormat="1"/>
    <xf numFmtId="171" fontId="29" fillId="2" borderId="1" xfId="0" applyNumberFormat="1" applyFont="1" applyFill="1" applyBorder="1" applyAlignment="1">
      <alignment vertical="center"/>
    </xf>
    <xf numFmtId="165" fontId="17" fillId="4" borderId="1" xfId="0" applyNumberFormat="1" applyFont="1" applyFill="1" applyBorder="1" applyAlignment="1">
      <alignment horizontal="center" vertical="center" wrapText="1"/>
    </xf>
    <xf numFmtId="165" fontId="29" fillId="0" borderId="1" xfId="0" applyNumberFormat="1" applyFont="1" applyFill="1" applyBorder="1" applyAlignment="1">
      <alignment horizontal="right" vertical="center"/>
    </xf>
    <xf numFmtId="168" fontId="8" fillId="2" borderId="0" xfId="0" applyNumberFormat="1" applyFont="1" applyFill="1"/>
    <xf numFmtId="165" fontId="17" fillId="4" borderId="1" xfId="0" applyNumberFormat="1" applyFont="1" applyFill="1" applyBorder="1" applyAlignment="1">
      <alignment vertical="center"/>
    </xf>
    <xf numFmtId="165" fontId="29" fillId="4" borderId="1" xfId="0" applyNumberFormat="1" applyFont="1" applyFill="1" applyBorder="1" applyAlignment="1">
      <alignment vertical="center"/>
    </xf>
    <xf numFmtId="169" fontId="28" fillId="2" borderId="1" xfId="0" applyNumberFormat="1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/>
    <xf numFmtId="0" fontId="3" fillId="0" borderId="2" xfId="0" applyFont="1" applyBorder="1" applyAlignment="1"/>
    <xf numFmtId="172" fontId="29" fillId="2" borderId="1" xfId="0" applyNumberFormat="1" applyFont="1" applyFill="1" applyBorder="1" applyAlignment="1">
      <alignment vertical="center"/>
    </xf>
    <xf numFmtId="172" fontId="17" fillId="0" borderId="1" xfId="0" applyNumberFormat="1" applyFont="1" applyFill="1" applyBorder="1" applyAlignment="1">
      <alignment vertical="center"/>
    </xf>
    <xf numFmtId="172" fontId="28" fillId="3" borderId="1" xfId="0" applyNumberFormat="1" applyFont="1" applyFill="1" applyBorder="1" applyAlignment="1">
      <alignment vertical="center"/>
    </xf>
    <xf numFmtId="172" fontId="29" fillId="3" borderId="1" xfId="0" applyNumberFormat="1" applyFont="1" applyFill="1" applyBorder="1" applyAlignment="1">
      <alignment vertical="center"/>
    </xf>
    <xf numFmtId="172" fontId="28" fillId="2" borderId="1" xfId="0" applyNumberFormat="1" applyFont="1" applyFill="1" applyBorder="1" applyAlignment="1">
      <alignment vertical="center"/>
    </xf>
    <xf numFmtId="172" fontId="29" fillId="0" borderId="1" xfId="0" applyNumberFormat="1" applyFont="1" applyFill="1" applyBorder="1" applyAlignment="1">
      <alignment vertical="center"/>
    </xf>
    <xf numFmtId="172" fontId="30" fillId="2" borderId="1" xfId="0" applyNumberFormat="1" applyFont="1" applyFill="1" applyBorder="1" applyAlignment="1">
      <alignment vertical="center"/>
    </xf>
    <xf numFmtId="172" fontId="30" fillId="2" borderId="1" xfId="1" applyNumberFormat="1" applyFont="1" applyFill="1" applyBorder="1" applyAlignment="1">
      <alignment vertical="center"/>
    </xf>
    <xf numFmtId="172" fontId="17" fillId="2" borderId="1" xfId="0" applyNumberFormat="1" applyFont="1" applyFill="1" applyBorder="1" applyAlignment="1">
      <alignment vertical="center"/>
    </xf>
    <xf numFmtId="172" fontId="28" fillId="0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14" fontId="24" fillId="2" borderId="0" xfId="0" applyNumberFormat="1" applyFont="1" applyFill="1" applyBorder="1" applyAlignment="1">
      <alignment horizontal="left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18" fillId="0" borderId="0" xfId="0" applyFont="1" applyBorder="1" applyAlignment="1">
      <alignment horizontal="left" vertical="top"/>
    </xf>
    <xf numFmtId="2" fontId="17" fillId="0" borderId="0" xfId="0" applyNumberFormat="1" applyFont="1" applyBorder="1" applyAlignment="1">
      <alignment horizontal="left" vertical="center" wrapText="1"/>
    </xf>
    <xf numFmtId="166" fontId="32" fillId="2" borderId="1" xfId="0" applyNumberFormat="1" applyFont="1" applyFill="1" applyBorder="1" applyAlignment="1">
      <alignment horizontal="left" vertical="center" wrapText="1"/>
    </xf>
    <xf numFmtId="166" fontId="32" fillId="2" borderId="1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/>
    </xf>
    <xf numFmtId="49" fontId="24" fillId="2" borderId="1" xfId="0" applyNumberFormat="1" applyFont="1" applyFill="1" applyBorder="1" applyAlignment="1">
      <alignment horizontal="left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166" fontId="2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/>
    </xf>
    <xf numFmtId="49" fontId="20" fillId="2" borderId="1" xfId="0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165" fontId="24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colors>
    <mruColors>
      <color rgb="FFFF66FF"/>
      <color rgb="FFFF33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3">
    <tabColor rgb="FF00B050"/>
  </sheetPr>
  <dimension ref="A1:T49"/>
  <sheetViews>
    <sheetView tabSelected="1" view="pageBreakPreview" topLeftCell="C1" zoomScale="55" zoomScaleNormal="100" zoomScaleSheetLayoutView="55" workbookViewId="0">
      <selection activeCell="A10" sqref="A10:Q10"/>
    </sheetView>
  </sheetViews>
  <sheetFormatPr defaultColWidth="9.109375" defaultRowHeight="17.399999999999999" x14ac:dyDescent="0.35"/>
  <cols>
    <col min="1" max="1" width="6.5546875" style="2" customWidth="1"/>
    <col min="2" max="2" width="59.6640625" style="33" customWidth="1"/>
    <col min="3" max="3" width="34.44140625" style="33" customWidth="1"/>
    <col min="4" max="4" width="27.6640625" style="2" customWidth="1"/>
    <col min="5" max="5" width="29.6640625" style="2" customWidth="1"/>
    <col min="6" max="6" width="23.5546875" style="2" customWidth="1"/>
    <col min="7" max="7" width="20" style="2" customWidth="1"/>
    <col min="8" max="8" width="20.33203125" style="2" customWidth="1"/>
    <col min="9" max="17" width="20.109375" style="2" customWidth="1"/>
    <col min="18" max="18" width="30.6640625" style="5" hidden="1" customWidth="1"/>
    <col min="19" max="19" width="14.33203125" style="2" bestFit="1" customWidth="1"/>
    <col min="20" max="20" width="20.44140625" style="2" customWidth="1"/>
    <col min="21" max="16384" width="9.109375" style="2"/>
  </cols>
  <sheetData>
    <row r="1" spans="1:19" s="11" customFormat="1" ht="21" customHeight="1" x14ac:dyDescent="0.4">
      <c r="A1" s="23"/>
      <c r="B1" s="24"/>
      <c r="C1" s="24"/>
      <c r="I1" s="23"/>
      <c r="J1" s="23"/>
      <c r="K1" s="23"/>
      <c r="L1" s="23"/>
      <c r="M1" s="25"/>
      <c r="N1" s="112" t="s">
        <v>31</v>
      </c>
      <c r="O1" s="112"/>
      <c r="P1" s="112"/>
      <c r="Q1" s="112"/>
      <c r="R1" s="26"/>
    </row>
    <row r="2" spans="1:19" s="11" customFormat="1" ht="44.25" customHeight="1" x14ac:dyDescent="0.4">
      <c r="A2" s="23"/>
      <c r="B2" s="27"/>
      <c r="C2" s="24"/>
      <c r="I2" s="23"/>
      <c r="J2" s="23"/>
      <c r="K2" s="23"/>
      <c r="L2" s="23"/>
      <c r="M2" s="25"/>
      <c r="N2" s="113" t="s">
        <v>48</v>
      </c>
      <c r="O2" s="113"/>
      <c r="P2" s="113"/>
      <c r="Q2" s="113"/>
      <c r="R2" s="29"/>
    </row>
    <row r="3" spans="1:19" s="11" customFormat="1" ht="62.25" customHeight="1" x14ac:dyDescent="0.4">
      <c r="A3" s="23"/>
      <c r="B3" s="27"/>
      <c r="C3" s="24"/>
      <c r="I3" s="23"/>
      <c r="J3" s="23"/>
      <c r="K3" s="23"/>
      <c r="L3" s="23"/>
      <c r="M3" s="25"/>
      <c r="N3" s="114" t="s">
        <v>77</v>
      </c>
      <c r="O3" s="114"/>
      <c r="P3" s="114"/>
      <c r="Q3" s="114"/>
      <c r="R3" s="29"/>
    </row>
    <row r="4" spans="1:19" s="11" customFormat="1" ht="23.25" customHeight="1" x14ac:dyDescent="0.35">
      <c r="A4" s="23"/>
      <c r="B4" s="24"/>
      <c r="C4" s="24"/>
      <c r="I4" s="23"/>
      <c r="J4" s="23"/>
      <c r="K4" s="23"/>
      <c r="L4" s="23"/>
      <c r="M4" s="25"/>
      <c r="N4" s="115" t="s">
        <v>32</v>
      </c>
      <c r="O4" s="115"/>
      <c r="P4" s="115"/>
      <c r="Q4" s="115"/>
      <c r="R4" s="29"/>
    </row>
    <row r="5" spans="1:19" s="11" customFormat="1" ht="46.8" customHeight="1" x14ac:dyDescent="0.35">
      <c r="A5" s="23"/>
      <c r="B5" s="24"/>
      <c r="C5" s="24"/>
      <c r="I5" s="23"/>
      <c r="J5" s="23"/>
      <c r="K5" s="23"/>
      <c r="L5" s="23"/>
      <c r="M5" s="25"/>
      <c r="N5" s="116" t="s">
        <v>78</v>
      </c>
      <c r="O5" s="116"/>
      <c r="P5" s="116"/>
      <c r="Q5" s="116"/>
      <c r="R5" s="30"/>
      <c r="S5" s="30"/>
    </row>
    <row r="6" spans="1:19" s="11" customFormat="1" ht="34.799999999999997" customHeight="1" x14ac:dyDescent="0.4">
      <c r="A6" s="23"/>
      <c r="B6" s="24"/>
      <c r="C6" s="24"/>
      <c r="I6" s="23"/>
      <c r="J6" s="23"/>
      <c r="K6" s="23"/>
      <c r="L6" s="23"/>
      <c r="M6" s="31"/>
      <c r="N6" s="114" t="s">
        <v>79</v>
      </c>
      <c r="O6" s="114"/>
      <c r="P6" s="114"/>
      <c r="Q6" s="114"/>
      <c r="R6" s="32"/>
    </row>
    <row r="7" spans="1:19" s="11" customFormat="1" ht="21.75" customHeight="1" x14ac:dyDescent="0.35">
      <c r="A7" s="23"/>
      <c r="B7" s="24"/>
      <c r="C7" s="24"/>
      <c r="I7" s="23"/>
      <c r="J7" s="23"/>
      <c r="K7" s="23"/>
      <c r="L7" s="23"/>
      <c r="M7" s="31"/>
      <c r="N7" s="115" t="s">
        <v>33</v>
      </c>
      <c r="O7" s="115"/>
      <c r="P7" s="115"/>
      <c r="Q7" s="115"/>
      <c r="R7" s="29"/>
    </row>
    <row r="8" spans="1:19" ht="19.5" customHeight="1" x14ac:dyDescent="0.35">
      <c r="A8" s="1"/>
      <c r="I8" s="1"/>
      <c r="J8" s="1"/>
      <c r="K8" s="1"/>
      <c r="L8" s="1"/>
      <c r="M8" s="8"/>
      <c r="N8" s="106"/>
      <c r="O8" s="106"/>
      <c r="P8" s="106"/>
      <c r="Q8" s="106"/>
      <c r="R8" s="9"/>
    </row>
    <row r="9" spans="1:19" ht="27" customHeight="1" x14ac:dyDescent="0.45">
      <c r="A9" s="1"/>
      <c r="B9" s="12"/>
      <c r="I9" s="1"/>
      <c r="J9" s="1"/>
      <c r="K9" s="1"/>
      <c r="L9" s="1"/>
      <c r="M9" s="6"/>
      <c r="N9" s="7"/>
      <c r="O9" s="7"/>
      <c r="P9" s="111" t="s">
        <v>82</v>
      </c>
      <c r="Q9" s="111"/>
    </row>
    <row r="10" spans="1:19" ht="31.5" customHeight="1" x14ac:dyDescent="0.35">
      <c r="A10" s="107" t="s">
        <v>81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9" ht="54" customHeight="1" x14ac:dyDescent="0.35">
      <c r="A11" s="108" t="s">
        <v>80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</row>
    <row r="12" spans="1:19" ht="27.75" customHeight="1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10" t="s">
        <v>35</v>
      </c>
      <c r="Q12" s="110"/>
    </row>
    <row r="13" spans="1:19" s="11" customFormat="1" ht="28.5" customHeight="1" x14ac:dyDescent="0.35">
      <c r="A13" s="124" t="s">
        <v>39</v>
      </c>
      <c r="B13" s="124" t="s">
        <v>38</v>
      </c>
      <c r="C13" s="124" t="s">
        <v>40</v>
      </c>
      <c r="D13" s="124" t="s">
        <v>5</v>
      </c>
      <c r="E13" s="119" t="s">
        <v>18</v>
      </c>
      <c r="F13" s="119" t="s">
        <v>37</v>
      </c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0"/>
    </row>
    <row r="14" spans="1:19" s="11" customFormat="1" ht="56.25" customHeight="1" x14ac:dyDescent="0.35">
      <c r="A14" s="124"/>
      <c r="B14" s="124"/>
      <c r="C14" s="124"/>
      <c r="D14" s="124"/>
      <c r="E14" s="119"/>
      <c r="F14" s="42" t="s">
        <v>19</v>
      </c>
      <c r="G14" s="42" t="s">
        <v>20</v>
      </c>
      <c r="H14" s="42" t="s">
        <v>21</v>
      </c>
      <c r="I14" s="42" t="s">
        <v>22</v>
      </c>
      <c r="J14" s="42" t="s">
        <v>23</v>
      </c>
      <c r="K14" s="81" t="s">
        <v>24</v>
      </c>
      <c r="L14" s="81" t="s">
        <v>25</v>
      </c>
      <c r="M14" s="81" t="s">
        <v>26</v>
      </c>
      <c r="N14" s="81" t="s">
        <v>27</v>
      </c>
      <c r="O14" s="81" t="s">
        <v>28</v>
      </c>
      <c r="P14" s="81" t="s">
        <v>29</v>
      </c>
      <c r="Q14" s="81" t="s">
        <v>30</v>
      </c>
      <c r="R14" s="43" t="s">
        <v>41</v>
      </c>
    </row>
    <row r="15" spans="1:19" s="15" customFormat="1" ht="18" x14ac:dyDescent="0.35">
      <c r="A15" s="13">
        <v>1</v>
      </c>
      <c r="B15" s="13">
        <v>2</v>
      </c>
      <c r="C15" s="13">
        <v>3</v>
      </c>
      <c r="D15" s="13">
        <v>4</v>
      </c>
      <c r="E15" s="13">
        <v>5</v>
      </c>
      <c r="F15" s="13">
        <v>6</v>
      </c>
      <c r="G15" s="13">
        <v>7</v>
      </c>
      <c r="H15" s="13">
        <v>8</v>
      </c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13">
        <v>16</v>
      </c>
      <c r="Q15" s="13">
        <v>17</v>
      </c>
      <c r="R15" s="14"/>
    </row>
    <row r="16" spans="1:19" s="17" customFormat="1" ht="24" customHeight="1" x14ac:dyDescent="0.35">
      <c r="A16" s="120">
        <v>1</v>
      </c>
      <c r="B16" s="121" t="s">
        <v>69</v>
      </c>
      <c r="C16" s="122" t="s">
        <v>74</v>
      </c>
      <c r="D16" s="16" t="s">
        <v>0</v>
      </c>
      <c r="E16" s="97">
        <v>500</v>
      </c>
      <c r="F16" s="98"/>
      <c r="G16" s="98"/>
      <c r="H16" s="97"/>
      <c r="I16" s="97">
        <v>200</v>
      </c>
      <c r="J16" s="97"/>
      <c r="K16" s="97"/>
      <c r="L16" s="97"/>
      <c r="M16" s="97"/>
      <c r="N16" s="97"/>
      <c r="O16" s="97">
        <v>300</v>
      </c>
      <c r="P16" s="97"/>
      <c r="Q16" s="97"/>
      <c r="R16" s="45">
        <f>R19+R22</f>
        <v>385360.86521999998</v>
      </c>
    </row>
    <row r="17" spans="1:20" s="17" customFormat="1" ht="26.25" customHeight="1" x14ac:dyDescent="0.35">
      <c r="A17" s="120"/>
      <c r="B17" s="121"/>
      <c r="C17" s="122"/>
      <c r="D17" s="18" t="s">
        <v>6</v>
      </c>
      <c r="E17" s="99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46"/>
    </row>
    <row r="18" spans="1:20" s="17" customFormat="1" ht="33.75" customHeight="1" x14ac:dyDescent="0.35">
      <c r="A18" s="120"/>
      <c r="B18" s="121"/>
      <c r="C18" s="122"/>
      <c r="D18" s="18" t="s">
        <v>7</v>
      </c>
      <c r="E18" s="99"/>
      <c r="F18" s="95"/>
      <c r="G18" s="95"/>
      <c r="H18" s="95"/>
      <c r="I18" s="95"/>
      <c r="J18" s="95"/>
      <c r="K18" s="100"/>
      <c r="L18" s="100"/>
      <c r="M18" s="100"/>
      <c r="N18" s="100"/>
      <c r="O18" s="100"/>
      <c r="P18" s="100"/>
      <c r="Q18" s="100"/>
      <c r="R18" s="74"/>
      <c r="S18" s="75"/>
    </row>
    <row r="19" spans="1:20" s="17" customFormat="1" ht="22.5" customHeight="1" x14ac:dyDescent="0.35">
      <c r="A19" s="120"/>
      <c r="B19" s="121"/>
      <c r="C19" s="122"/>
      <c r="D19" s="18" t="s">
        <v>1</v>
      </c>
      <c r="E19" s="101">
        <v>500</v>
      </c>
      <c r="F19" s="95"/>
      <c r="G19" s="95"/>
      <c r="H19" s="95"/>
      <c r="I19" s="95">
        <v>200</v>
      </c>
      <c r="J19" s="95"/>
      <c r="K19" s="95"/>
      <c r="L19" s="95"/>
      <c r="M19" s="95"/>
      <c r="N19" s="95"/>
      <c r="O19" s="95">
        <v>300</v>
      </c>
      <c r="P19" s="96"/>
      <c r="Q19" s="95"/>
      <c r="R19" s="76">
        <v>385360.86521999998</v>
      </c>
      <c r="S19" s="77"/>
      <c r="T19" s="86"/>
    </row>
    <row r="20" spans="1:20" s="17" customFormat="1" ht="64.5" customHeight="1" x14ac:dyDescent="0.35">
      <c r="A20" s="120"/>
      <c r="B20" s="121"/>
      <c r="C20" s="122"/>
      <c r="D20" s="18" t="s">
        <v>2</v>
      </c>
      <c r="E20" s="99"/>
      <c r="F20" s="95"/>
      <c r="G20" s="95"/>
      <c r="H20" s="95"/>
      <c r="I20" s="95"/>
      <c r="J20" s="95"/>
      <c r="K20" s="100"/>
      <c r="L20" s="100"/>
      <c r="M20" s="100"/>
      <c r="N20" s="100"/>
      <c r="O20" s="100"/>
      <c r="P20" s="100"/>
      <c r="Q20" s="100"/>
      <c r="R20" s="76"/>
      <c r="S20" s="75"/>
    </row>
    <row r="21" spans="1:20" s="17" customFormat="1" ht="26.25" customHeight="1" x14ac:dyDescent="0.35">
      <c r="A21" s="120"/>
      <c r="B21" s="121"/>
      <c r="C21" s="122"/>
      <c r="D21" s="18" t="s">
        <v>36</v>
      </c>
      <c r="E21" s="99"/>
      <c r="F21" s="95"/>
      <c r="G21" s="95"/>
      <c r="H21" s="95"/>
      <c r="I21" s="95"/>
      <c r="J21" s="95"/>
      <c r="K21" s="100"/>
      <c r="L21" s="100"/>
      <c r="M21" s="100"/>
      <c r="N21" s="100"/>
      <c r="O21" s="100"/>
      <c r="P21" s="100"/>
      <c r="Q21" s="100"/>
      <c r="R21" s="76"/>
      <c r="S21" s="75"/>
    </row>
    <row r="22" spans="1:20" s="17" customFormat="1" ht="29.25" customHeight="1" x14ac:dyDescent="0.35">
      <c r="A22" s="120"/>
      <c r="B22" s="121"/>
      <c r="C22" s="122"/>
      <c r="D22" s="18" t="s">
        <v>4</v>
      </c>
      <c r="E22" s="102"/>
      <c r="F22" s="103"/>
      <c r="G22" s="103"/>
      <c r="H22" s="103"/>
      <c r="I22" s="103"/>
      <c r="J22" s="103"/>
      <c r="K22" s="96"/>
      <c r="L22" s="96"/>
      <c r="M22" s="100"/>
      <c r="N22" s="96"/>
      <c r="O22" s="96"/>
      <c r="P22" s="96"/>
      <c r="Q22" s="100"/>
      <c r="R22" s="76">
        <v>0</v>
      </c>
      <c r="S22" s="75"/>
    </row>
    <row r="23" spans="1:20" s="17" customFormat="1" ht="27.75" customHeight="1" x14ac:dyDescent="0.35">
      <c r="A23" s="120" t="s">
        <v>8</v>
      </c>
      <c r="B23" s="121" t="s">
        <v>70</v>
      </c>
      <c r="C23" s="123" t="s">
        <v>73</v>
      </c>
      <c r="D23" s="16" t="s">
        <v>0</v>
      </c>
      <c r="E23" s="97">
        <v>1000</v>
      </c>
      <c r="F23" s="97"/>
      <c r="G23" s="97"/>
      <c r="H23" s="97"/>
      <c r="I23" s="97"/>
      <c r="J23" s="97"/>
      <c r="K23" s="97"/>
      <c r="L23" s="97">
        <v>200</v>
      </c>
      <c r="M23" s="97">
        <v>200</v>
      </c>
      <c r="N23" s="97">
        <v>200</v>
      </c>
      <c r="O23" s="97">
        <v>200</v>
      </c>
      <c r="P23" s="97">
        <v>200</v>
      </c>
      <c r="Q23" s="97"/>
      <c r="R23" s="45">
        <f>R26+R29</f>
        <v>341.06207000000001</v>
      </c>
      <c r="S23" s="48"/>
    </row>
    <row r="24" spans="1:20" s="17" customFormat="1" ht="25.5" customHeight="1" x14ac:dyDescent="0.35">
      <c r="A24" s="120"/>
      <c r="B24" s="121"/>
      <c r="C24" s="123"/>
      <c r="D24" s="18" t="s">
        <v>6</v>
      </c>
      <c r="E24" s="99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46"/>
    </row>
    <row r="25" spans="1:20" s="17" customFormat="1" ht="36" customHeight="1" x14ac:dyDescent="0.35">
      <c r="A25" s="120"/>
      <c r="B25" s="121"/>
      <c r="C25" s="123"/>
      <c r="D25" s="18" t="s">
        <v>7</v>
      </c>
      <c r="E25" s="99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46"/>
    </row>
    <row r="26" spans="1:20" s="17" customFormat="1" ht="28.5" customHeight="1" x14ac:dyDescent="0.35">
      <c r="A26" s="120"/>
      <c r="B26" s="121"/>
      <c r="C26" s="123"/>
      <c r="D26" s="18" t="s">
        <v>1</v>
      </c>
      <c r="E26" s="99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47">
        <v>341.06207000000001</v>
      </c>
    </row>
    <row r="27" spans="1:20" s="17" customFormat="1" ht="58.5" customHeight="1" x14ac:dyDescent="0.35">
      <c r="A27" s="120"/>
      <c r="B27" s="121"/>
      <c r="C27" s="123"/>
      <c r="D27" s="18" t="s">
        <v>2</v>
      </c>
      <c r="E27" s="99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47"/>
    </row>
    <row r="28" spans="1:20" s="17" customFormat="1" ht="25.5" customHeight="1" x14ac:dyDescent="0.35">
      <c r="A28" s="120"/>
      <c r="B28" s="121"/>
      <c r="C28" s="123"/>
      <c r="D28" s="18" t="s">
        <v>36</v>
      </c>
      <c r="E28" s="99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47"/>
    </row>
    <row r="29" spans="1:20" s="17" customFormat="1" ht="94.2" customHeight="1" x14ac:dyDescent="0.35">
      <c r="A29" s="120"/>
      <c r="B29" s="121"/>
      <c r="C29" s="123"/>
      <c r="D29" s="18" t="s">
        <v>4</v>
      </c>
      <c r="E29" s="99">
        <v>1000</v>
      </c>
      <c r="F29" s="95"/>
      <c r="G29" s="95"/>
      <c r="H29" s="95"/>
      <c r="I29" s="95"/>
      <c r="J29" s="95"/>
      <c r="K29" s="95"/>
      <c r="L29" s="95">
        <v>200</v>
      </c>
      <c r="M29" s="95">
        <v>200</v>
      </c>
      <c r="N29" s="95">
        <v>200</v>
      </c>
      <c r="O29" s="95">
        <v>200</v>
      </c>
      <c r="P29" s="95">
        <v>200</v>
      </c>
      <c r="Q29" s="95"/>
      <c r="R29" s="47"/>
    </row>
    <row r="30" spans="1:20" s="21" customFormat="1" ht="30" customHeight="1" x14ac:dyDescent="0.35">
      <c r="A30" s="117" t="s">
        <v>3</v>
      </c>
      <c r="B30" s="117"/>
      <c r="C30" s="118"/>
      <c r="D30" s="16" t="s">
        <v>0</v>
      </c>
      <c r="E30" s="97">
        <v>1500</v>
      </c>
      <c r="F30" s="97"/>
      <c r="G30" s="97"/>
      <c r="H30" s="97"/>
      <c r="I30" s="97">
        <v>200</v>
      </c>
      <c r="J30" s="97"/>
      <c r="K30" s="97"/>
      <c r="L30" s="97">
        <v>200</v>
      </c>
      <c r="M30" s="97">
        <v>200</v>
      </c>
      <c r="N30" s="97">
        <v>200</v>
      </c>
      <c r="O30" s="97">
        <v>500</v>
      </c>
      <c r="P30" s="97">
        <v>200</v>
      </c>
      <c r="Q30" s="97"/>
      <c r="R30" s="53"/>
    </row>
    <row r="31" spans="1:20" s="21" customFormat="1" ht="36" customHeight="1" x14ac:dyDescent="0.35">
      <c r="A31" s="117"/>
      <c r="B31" s="117"/>
      <c r="C31" s="118"/>
      <c r="D31" s="67" t="s">
        <v>6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4"/>
      <c r="Q31" s="104"/>
      <c r="R31" s="53"/>
    </row>
    <row r="32" spans="1:20" s="21" customFormat="1" ht="43.5" customHeight="1" x14ac:dyDescent="0.35">
      <c r="A32" s="117"/>
      <c r="B32" s="117"/>
      <c r="C32" s="118"/>
      <c r="D32" s="67" t="s">
        <v>7</v>
      </c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104"/>
      <c r="Q32" s="104"/>
      <c r="R32" s="53"/>
      <c r="S32" s="22"/>
    </row>
    <row r="33" spans="1:18" s="21" customFormat="1" ht="28.5" customHeight="1" x14ac:dyDescent="0.35">
      <c r="A33" s="117"/>
      <c r="B33" s="117"/>
      <c r="C33" s="118"/>
      <c r="D33" s="67" t="s">
        <v>1</v>
      </c>
      <c r="E33" s="101">
        <v>500</v>
      </c>
      <c r="F33" s="99"/>
      <c r="G33" s="99"/>
      <c r="H33" s="95"/>
      <c r="I33" s="95">
        <v>200</v>
      </c>
      <c r="J33" s="95"/>
      <c r="K33" s="95"/>
      <c r="L33" s="95"/>
      <c r="M33" s="95"/>
      <c r="N33" s="95"/>
      <c r="O33" s="95">
        <v>300</v>
      </c>
      <c r="P33" s="100"/>
      <c r="Q33" s="100"/>
      <c r="R33" s="53"/>
    </row>
    <row r="34" spans="1:18" s="21" customFormat="1" ht="52.5" customHeight="1" x14ac:dyDescent="0.35">
      <c r="A34" s="117"/>
      <c r="B34" s="117"/>
      <c r="C34" s="118"/>
      <c r="D34" s="67" t="s">
        <v>2</v>
      </c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4"/>
      <c r="Q34" s="104"/>
      <c r="R34" s="53"/>
    </row>
    <row r="35" spans="1:18" s="17" customFormat="1" ht="33.75" customHeight="1" x14ac:dyDescent="0.35">
      <c r="A35" s="117"/>
      <c r="B35" s="117"/>
      <c r="C35" s="118"/>
      <c r="D35" s="67" t="s">
        <v>36</v>
      </c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53"/>
    </row>
    <row r="36" spans="1:18" s="21" customFormat="1" ht="30" customHeight="1" x14ac:dyDescent="0.35">
      <c r="A36" s="117"/>
      <c r="B36" s="117"/>
      <c r="C36" s="118"/>
      <c r="D36" s="67" t="s">
        <v>4</v>
      </c>
      <c r="E36" s="99">
        <v>1000</v>
      </c>
      <c r="F36" s="95"/>
      <c r="G36" s="95"/>
      <c r="H36" s="95"/>
      <c r="I36" s="95"/>
      <c r="J36" s="95"/>
      <c r="K36" s="95"/>
      <c r="L36" s="95">
        <v>200</v>
      </c>
      <c r="M36" s="95">
        <v>200</v>
      </c>
      <c r="N36" s="95">
        <v>200</v>
      </c>
      <c r="O36" s="95">
        <v>200</v>
      </c>
      <c r="P36" s="95">
        <v>200</v>
      </c>
      <c r="Q36" s="95"/>
      <c r="R36" s="53"/>
    </row>
    <row r="37" spans="1:18" s="21" customFormat="1" ht="30.75" hidden="1" customHeight="1" x14ac:dyDescent="0.35">
      <c r="A37" s="58"/>
      <c r="B37" s="58"/>
      <c r="C37" s="59"/>
      <c r="D37" s="60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2"/>
    </row>
    <row r="38" spans="1:18" s="63" customFormat="1" ht="38.25" customHeight="1" x14ac:dyDescent="0.45">
      <c r="B38" s="68"/>
      <c r="C38" s="64"/>
      <c r="N38" s="66"/>
      <c r="R38" s="65"/>
    </row>
    <row r="39" spans="1:18" s="35" customFormat="1" ht="48.75" customHeight="1" x14ac:dyDescent="0.45">
      <c r="B39" s="92" t="s">
        <v>71</v>
      </c>
      <c r="C39" s="94"/>
      <c r="D39" s="35" t="s">
        <v>72</v>
      </c>
      <c r="E39" s="93"/>
      <c r="R39" s="37"/>
    </row>
    <row r="40" spans="1:18" s="35" customFormat="1" ht="57.75" customHeight="1" x14ac:dyDescent="0.45">
      <c r="B40" s="36"/>
      <c r="C40" s="105"/>
      <c r="D40" s="105"/>
      <c r="E40" s="105"/>
      <c r="R40" s="37"/>
    </row>
    <row r="41" spans="1:18" s="35" customFormat="1" ht="30" customHeight="1" x14ac:dyDescent="0.45">
      <c r="B41" s="36" t="s">
        <v>75</v>
      </c>
      <c r="C41" s="36"/>
      <c r="R41" s="37"/>
    </row>
    <row r="42" spans="1:18" s="35" customFormat="1" ht="25.2" x14ac:dyDescent="0.45">
      <c r="B42" s="36" t="s">
        <v>76</v>
      </c>
      <c r="C42" s="36"/>
      <c r="R42" s="37"/>
    </row>
    <row r="45" spans="1:18" x14ac:dyDescent="0.35"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</row>
    <row r="47" spans="1:18" x14ac:dyDescent="0.35">
      <c r="F47" s="71"/>
      <c r="G47" s="71"/>
      <c r="H47" s="71"/>
    </row>
    <row r="48" spans="1:18" x14ac:dyDescent="0.35">
      <c r="E48" s="82"/>
    </row>
    <row r="49" spans="6:6" x14ac:dyDescent="0.35">
      <c r="F49" s="72"/>
    </row>
  </sheetData>
  <mergeCells count="27">
    <mergeCell ref="N6:Q6"/>
    <mergeCell ref="N7:Q7"/>
    <mergeCell ref="A30:B36"/>
    <mergeCell ref="C30:C36"/>
    <mergeCell ref="F13:Q13"/>
    <mergeCell ref="A16:A22"/>
    <mergeCell ref="B16:B22"/>
    <mergeCell ref="C16:C22"/>
    <mergeCell ref="A23:A29"/>
    <mergeCell ref="B23:B29"/>
    <mergeCell ref="C23:C29"/>
    <mergeCell ref="A13:A14"/>
    <mergeCell ref="B13:B14"/>
    <mergeCell ref="C13:C14"/>
    <mergeCell ref="D13:D14"/>
    <mergeCell ref="E13:E14"/>
    <mergeCell ref="N1:Q1"/>
    <mergeCell ref="N2:Q2"/>
    <mergeCell ref="N3:Q3"/>
    <mergeCell ref="N4:Q4"/>
    <mergeCell ref="N5:Q5"/>
    <mergeCell ref="C40:E40"/>
    <mergeCell ref="N8:Q8"/>
    <mergeCell ref="A10:Q10"/>
    <mergeCell ref="A11:Q11"/>
    <mergeCell ref="P12:Q12"/>
    <mergeCell ref="P9:Q9"/>
  </mergeCells>
  <pageMargins left="0.19685039370078741" right="0.27559055118110237" top="0.15748031496062992" bottom="0.15748031496062992" header="0.15748031496062992" footer="0.15748031496062992"/>
  <pageSetup paperSize="9" scale="35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104"/>
  <sheetViews>
    <sheetView view="pageBreakPreview" topLeftCell="A19" zoomScale="60" zoomScaleNormal="100" workbookViewId="0">
      <pane xSplit="5" ySplit="2" topLeftCell="F21" activePane="bottomRight" state="frozen"/>
      <selection activeCell="A19" sqref="A19"/>
      <selection pane="topRight" activeCell="F19" sqref="F19"/>
      <selection pane="bottomLeft" activeCell="A21" sqref="A21"/>
      <selection pane="bottomRight" activeCell="E46" sqref="E46"/>
    </sheetView>
  </sheetViews>
  <sheetFormatPr defaultColWidth="9.109375" defaultRowHeight="17.399999999999999" x14ac:dyDescent="0.35"/>
  <cols>
    <col min="1" max="1" width="6.5546875" style="2" customWidth="1"/>
    <col min="2" max="2" width="59.6640625" style="33" customWidth="1"/>
    <col min="3" max="3" width="34.44140625" style="33" customWidth="1"/>
    <col min="4" max="4" width="27.6640625" style="2" customWidth="1"/>
    <col min="5" max="5" width="29.6640625" style="2" customWidth="1"/>
    <col min="6" max="6" width="23.5546875" style="2" customWidth="1"/>
    <col min="7" max="7" width="20" style="2" customWidth="1"/>
    <col min="8" max="8" width="20.33203125" style="2" customWidth="1"/>
    <col min="9" max="17" width="20.109375" style="2" customWidth="1"/>
    <col min="18" max="18" width="30.6640625" style="5" hidden="1" customWidth="1"/>
    <col min="19" max="19" width="14.33203125" style="2" bestFit="1" customWidth="1"/>
    <col min="20" max="20" width="20.44140625" style="2" customWidth="1"/>
    <col min="21" max="16384" width="9.109375" style="2"/>
  </cols>
  <sheetData>
    <row r="1" spans="1:19" s="11" customFormat="1" ht="21" customHeight="1" x14ac:dyDescent="0.4">
      <c r="A1" s="23"/>
      <c r="B1" s="24"/>
      <c r="C1" s="24"/>
      <c r="I1" s="23"/>
      <c r="J1" s="23"/>
      <c r="K1" s="23"/>
      <c r="L1" s="23"/>
      <c r="M1" s="25"/>
      <c r="N1" s="112" t="s">
        <v>31</v>
      </c>
      <c r="O1" s="112"/>
      <c r="P1" s="112"/>
      <c r="Q1" s="112"/>
      <c r="R1" s="26"/>
    </row>
    <row r="2" spans="1:19" s="11" customFormat="1" ht="44.25" customHeight="1" x14ac:dyDescent="0.4">
      <c r="A2" s="23"/>
      <c r="B2" s="27"/>
      <c r="C2" s="24"/>
      <c r="I2" s="23"/>
      <c r="J2" s="23"/>
      <c r="K2" s="23"/>
      <c r="L2" s="23"/>
      <c r="M2" s="25"/>
      <c r="N2" s="113" t="s">
        <v>53</v>
      </c>
      <c r="O2" s="113"/>
      <c r="P2" s="113"/>
      <c r="Q2" s="113"/>
      <c r="R2" s="29"/>
    </row>
    <row r="3" spans="1:19" s="11" customFormat="1" ht="62.25" customHeight="1" x14ac:dyDescent="0.4">
      <c r="A3" s="23"/>
      <c r="B3" s="27"/>
      <c r="C3" s="24"/>
      <c r="I3" s="23"/>
      <c r="J3" s="23"/>
      <c r="K3" s="23"/>
      <c r="L3" s="23"/>
      <c r="M3" s="25"/>
      <c r="N3" s="125" t="s">
        <v>54</v>
      </c>
      <c r="O3" s="125"/>
      <c r="P3" s="125"/>
      <c r="Q3" s="125"/>
      <c r="R3" s="29"/>
    </row>
    <row r="4" spans="1:19" s="11" customFormat="1" ht="23.25" customHeight="1" x14ac:dyDescent="0.35">
      <c r="A4" s="23"/>
      <c r="B4" s="24"/>
      <c r="C4" s="24"/>
      <c r="I4" s="23"/>
      <c r="J4" s="23"/>
      <c r="K4" s="23"/>
      <c r="L4" s="23"/>
      <c r="M4" s="25"/>
      <c r="N4" s="115" t="s">
        <v>32</v>
      </c>
      <c r="O4" s="115"/>
      <c r="P4" s="115"/>
      <c r="Q4" s="115"/>
      <c r="R4" s="29"/>
    </row>
    <row r="5" spans="1:19" s="11" customFormat="1" ht="33" customHeight="1" x14ac:dyDescent="0.35">
      <c r="A5" s="23"/>
      <c r="B5" s="24"/>
      <c r="C5" s="24"/>
      <c r="I5" s="23"/>
      <c r="J5" s="23"/>
      <c r="K5" s="23"/>
      <c r="L5" s="23"/>
      <c r="M5" s="25"/>
      <c r="N5" s="116" t="s">
        <v>46</v>
      </c>
      <c r="O5" s="116"/>
      <c r="P5" s="116"/>
      <c r="Q5" s="116"/>
      <c r="R5" s="30"/>
      <c r="S5" s="30"/>
    </row>
    <row r="6" spans="1:19" s="11" customFormat="1" ht="51" customHeight="1" x14ac:dyDescent="0.4">
      <c r="A6" s="23"/>
      <c r="B6" s="24"/>
      <c r="C6" s="24"/>
      <c r="I6" s="23"/>
      <c r="J6" s="23"/>
      <c r="K6" s="23"/>
      <c r="L6" s="23"/>
      <c r="M6" s="31"/>
      <c r="N6" s="114" t="s">
        <v>55</v>
      </c>
      <c r="O6" s="114"/>
      <c r="P6" s="114"/>
      <c r="Q6" s="114"/>
      <c r="R6" s="32"/>
    </row>
    <row r="7" spans="1:19" s="11" customFormat="1" ht="21.75" customHeight="1" x14ac:dyDescent="0.35">
      <c r="A7" s="23"/>
      <c r="B7" s="24"/>
      <c r="C7" s="24"/>
      <c r="I7" s="23"/>
      <c r="J7" s="23"/>
      <c r="K7" s="23"/>
      <c r="L7" s="23"/>
      <c r="M7" s="31"/>
      <c r="N7" s="115" t="s">
        <v>33</v>
      </c>
      <c r="O7" s="115"/>
      <c r="P7" s="115"/>
      <c r="Q7" s="115"/>
      <c r="R7" s="29"/>
    </row>
    <row r="8" spans="1:19" s="11" customFormat="1" ht="40.5" customHeight="1" x14ac:dyDescent="0.4">
      <c r="A8" s="23"/>
      <c r="B8" s="24"/>
      <c r="C8" s="24"/>
      <c r="I8" s="23"/>
      <c r="J8" s="23"/>
      <c r="K8" s="23"/>
      <c r="L8" s="23"/>
      <c r="M8" s="31"/>
      <c r="N8" s="113" t="s">
        <v>47</v>
      </c>
      <c r="O8" s="113"/>
      <c r="P8" s="113"/>
      <c r="Q8" s="113"/>
      <c r="R8" s="32"/>
    </row>
    <row r="9" spans="1:19" s="11" customFormat="1" ht="46.5" customHeight="1" x14ac:dyDescent="0.4">
      <c r="A9" s="23"/>
      <c r="B9" s="24"/>
      <c r="C9" s="24"/>
      <c r="I9" s="23"/>
      <c r="J9" s="23"/>
      <c r="K9" s="23"/>
      <c r="L9" s="23"/>
      <c r="M9" s="31"/>
      <c r="N9" s="114" t="s">
        <v>56</v>
      </c>
      <c r="O9" s="114"/>
      <c r="P9" s="114"/>
      <c r="Q9" s="114"/>
      <c r="R9" s="28"/>
      <c r="S9" s="28"/>
    </row>
    <row r="10" spans="1:19" s="11" customFormat="1" ht="24" customHeight="1" x14ac:dyDescent="0.35">
      <c r="A10" s="23"/>
      <c r="B10" s="24"/>
      <c r="C10" s="24"/>
      <c r="I10" s="23"/>
      <c r="J10" s="23"/>
      <c r="K10" s="23"/>
      <c r="L10" s="23"/>
      <c r="M10" s="31"/>
      <c r="N10" s="115" t="s">
        <v>33</v>
      </c>
      <c r="O10" s="115"/>
      <c r="P10" s="115"/>
      <c r="Q10" s="115"/>
      <c r="R10" s="29"/>
    </row>
    <row r="11" spans="1:19" s="11" customFormat="1" ht="30.75" customHeight="1" x14ac:dyDescent="0.4">
      <c r="A11" s="23"/>
      <c r="B11" s="24"/>
      <c r="C11" s="24"/>
      <c r="I11" s="23"/>
      <c r="J11" s="23"/>
      <c r="K11" s="23"/>
      <c r="L11" s="23"/>
      <c r="M11" s="31"/>
      <c r="N11" s="113" t="s">
        <v>48</v>
      </c>
      <c r="O11" s="113"/>
      <c r="P11" s="113"/>
      <c r="Q11" s="113"/>
      <c r="R11" s="32"/>
    </row>
    <row r="12" spans="1:19" s="11" customFormat="1" ht="51" customHeight="1" x14ac:dyDescent="0.6">
      <c r="A12" s="23"/>
      <c r="B12" s="24"/>
      <c r="C12" s="24"/>
      <c r="E12" s="41"/>
      <c r="F12" s="17"/>
      <c r="G12" s="17"/>
      <c r="I12" s="23"/>
      <c r="J12" s="23"/>
      <c r="K12" s="23"/>
      <c r="L12" s="23"/>
      <c r="M12" s="31"/>
      <c r="N12" s="125" t="s">
        <v>64</v>
      </c>
      <c r="O12" s="125"/>
      <c r="P12" s="125"/>
      <c r="Q12" s="125"/>
      <c r="R12" s="32"/>
    </row>
    <row r="13" spans="1:19" s="11" customFormat="1" ht="24" customHeight="1" x14ac:dyDescent="0.35">
      <c r="A13" s="23"/>
      <c r="B13" s="24"/>
      <c r="C13" s="24"/>
      <c r="I13" s="23"/>
      <c r="J13" s="23"/>
      <c r="K13" s="23"/>
      <c r="L13" s="23"/>
      <c r="M13" s="31"/>
      <c r="N13" s="115" t="s">
        <v>33</v>
      </c>
      <c r="O13" s="115"/>
      <c r="P13" s="115"/>
      <c r="Q13" s="115"/>
      <c r="R13" s="29"/>
    </row>
    <row r="14" spans="1:19" ht="19.5" customHeight="1" x14ac:dyDescent="0.35">
      <c r="A14" s="1"/>
      <c r="I14" s="1"/>
      <c r="J14" s="1"/>
      <c r="K14" s="1"/>
      <c r="L14" s="1"/>
      <c r="M14" s="8"/>
      <c r="N14" s="106" t="s">
        <v>68</v>
      </c>
      <c r="O14" s="106"/>
      <c r="P14" s="106"/>
      <c r="Q14" s="106"/>
      <c r="R14" s="9"/>
    </row>
    <row r="15" spans="1:19" ht="14.25" customHeight="1" x14ac:dyDescent="0.4">
      <c r="A15" s="1"/>
      <c r="B15" s="12"/>
      <c r="I15" s="1"/>
      <c r="J15" s="1"/>
      <c r="K15" s="1"/>
      <c r="L15" s="1"/>
      <c r="M15" s="6"/>
      <c r="N15" s="7"/>
      <c r="O15" s="7"/>
      <c r="P15" s="7"/>
      <c r="Q15" s="7"/>
    </row>
    <row r="16" spans="1:19" ht="31.5" customHeight="1" x14ac:dyDescent="0.35">
      <c r="A16" s="107" t="s">
        <v>34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20" ht="54" customHeight="1" x14ac:dyDescent="0.35">
      <c r="A17" s="108" t="s">
        <v>57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1:20" ht="27.75" customHeight="1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10" t="s">
        <v>35</v>
      </c>
      <c r="Q18" s="110"/>
    </row>
    <row r="19" spans="1:20" s="11" customFormat="1" ht="28.5" customHeight="1" x14ac:dyDescent="0.35">
      <c r="A19" s="124" t="s">
        <v>39</v>
      </c>
      <c r="B19" s="124" t="s">
        <v>38</v>
      </c>
      <c r="C19" s="124" t="s">
        <v>40</v>
      </c>
      <c r="D19" s="124" t="s">
        <v>5</v>
      </c>
      <c r="E19" s="119" t="s">
        <v>18</v>
      </c>
      <c r="F19" s="119" t="s">
        <v>37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0"/>
    </row>
    <row r="20" spans="1:20" s="11" customFormat="1" ht="56.25" customHeight="1" x14ac:dyDescent="0.35">
      <c r="A20" s="124"/>
      <c r="B20" s="124"/>
      <c r="C20" s="124"/>
      <c r="D20" s="124"/>
      <c r="E20" s="119"/>
      <c r="F20" s="42" t="s">
        <v>19</v>
      </c>
      <c r="G20" s="42" t="s">
        <v>20</v>
      </c>
      <c r="H20" s="42" t="s">
        <v>21</v>
      </c>
      <c r="I20" s="42" t="s">
        <v>22</v>
      </c>
      <c r="J20" s="42" t="s">
        <v>23</v>
      </c>
      <c r="K20" s="90" t="s">
        <v>24</v>
      </c>
      <c r="L20" s="90" t="s">
        <v>25</v>
      </c>
      <c r="M20" s="90" t="s">
        <v>26</v>
      </c>
      <c r="N20" s="90" t="s">
        <v>27</v>
      </c>
      <c r="O20" s="90" t="s">
        <v>28</v>
      </c>
      <c r="P20" s="90" t="s">
        <v>29</v>
      </c>
      <c r="Q20" s="90" t="s">
        <v>30</v>
      </c>
      <c r="R20" s="43" t="s">
        <v>41</v>
      </c>
    </row>
    <row r="21" spans="1:20" s="15" customFormat="1" ht="18" x14ac:dyDescent="0.35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4"/>
    </row>
    <row r="22" spans="1:20" s="17" customFormat="1" ht="24" customHeight="1" x14ac:dyDescent="0.35">
      <c r="A22" s="120">
        <v>1</v>
      </c>
      <c r="B22" s="121" t="s">
        <v>11</v>
      </c>
      <c r="C22" s="122" t="s">
        <v>61</v>
      </c>
      <c r="D22" s="16" t="s">
        <v>0</v>
      </c>
      <c r="E22" s="44">
        <f>SUM(F22:Q22)</f>
        <v>442005.97091000003</v>
      </c>
      <c r="F22" s="44">
        <f>SUM(F23:F28)</f>
        <v>13982.034935</v>
      </c>
      <c r="G22" s="44">
        <f t="shared" ref="G22:Q22" si="0">SUM(G23:G28)</f>
        <v>50127.903429999998</v>
      </c>
      <c r="H22" s="44">
        <f t="shared" si="0"/>
        <v>38495.8626</v>
      </c>
      <c r="I22" s="44">
        <f t="shared" si="0"/>
        <v>38761.871460000002</v>
      </c>
      <c r="J22" s="44">
        <f t="shared" si="0"/>
        <v>40816.147539999998</v>
      </c>
      <c r="K22" s="44">
        <f t="shared" si="0"/>
        <v>37287.088089999997</v>
      </c>
      <c r="L22" s="44">
        <f t="shared" si="0"/>
        <v>38519.618515000002</v>
      </c>
      <c r="M22" s="44">
        <f t="shared" si="0"/>
        <v>32506.648150000001</v>
      </c>
      <c r="N22" s="44">
        <f t="shared" si="0"/>
        <v>33491.005644999997</v>
      </c>
      <c r="O22" s="44">
        <f t="shared" si="0"/>
        <v>32142.331539999999</v>
      </c>
      <c r="P22" s="44">
        <f t="shared" si="0"/>
        <v>27812.56695</v>
      </c>
      <c r="Q22" s="44">
        <f t="shared" si="0"/>
        <v>58062.892055000004</v>
      </c>
      <c r="R22" s="45">
        <f>R25+R28</f>
        <v>385360.86521999998</v>
      </c>
    </row>
    <row r="23" spans="1:20" s="17" customFormat="1" ht="26.25" customHeight="1" x14ac:dyDescent="0.35">
      <c r="A23" s="120"/>
      <c r="B23" s="121"/>
      <c r="C23" s="122"/>
      <c r="D23" s="18" t="s">
        <v>6</v>
      </c>
      <c r="E23" s="54">
        <f t="shared" ref="E23:E27" si="1">SUM(F23:Q23)</f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46"/>
    </row>
    <row r="24" spans="1:20" s="17" customFormat="1" ht="33.75" customHeight="1" x14ac:dyDescent="0.35">
      <c r="A24" s="120"/>
      <c r="B24" s="121"/>
      <c r="C24" s="122"/>
      <c r="D24" s="18" t="s">
        <v>7</v>
      </c>
      <c r="E24" s="54">
        <f t="shared" si="1"/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4"/>
      <c r="S24" s="75"/>
    </row>
    <row r="25" spans="1:20" s="17" customFormat="1" ht="22.5" customHeight="1" x14ac:dyDescent="0.35">
      <c r="A25" s="120"/>
      <c r="B25" s="121"/>
      <c r="C25" s="122"/>
      <c r="D25" s="18" t="s">
        <v>1</v>
      </c>
      <c r="E25" s="57">
        <f>SUM(F25:Q25)</f>
        <v>438016.99691000005</v>
      </c>
      <c r="F25" s="56">
        <v>13982.034935</v>
      </c>
      <c r="G25" s="56">
        <v>50127.903429999998</v>
      </c>
      <c r="H25" s="56">
        <v>38495.8626</v>
      </c>
      <c r="I25" s="56">
        <v>38761.871460000002</v>
      </c>
      <c r="J25" s="56">
        <v>40816.147539999998</v>
      </c>
      <c r="K25" s="69">
        <v>37287.088089999997</v>
      </c>
      <c r="L25" s="87">
        <f>42788.024635-8-76.08844-3377.31768-807</f>
        <v>38519.618515000002</v>
      </c>
      <c r="M25" s="69">
        <f>32506.64815</f>
        <v>32506.648150000001</v>
      </c>
      <c r="N25" s="69">
        <v>33491.005644999997</v>
      </c>
      <c r="O25" s="69">
        <v>32142.331539999999</v>
      </c>
      <c r="P25" s="69">
        <v>27812.56695</v>
      </c>
      <c r="Q25" s="87">
        <f>62041.777055-9553+1765.141-180</f>
        <v>54073.918055000002</v>
      </c>
      <c r="R25" s="76">
        <v>385360.86521999998</v>
      </c>
      <c r="S25" s="77">
        <v>442465.40302999999</v>
      </c>
      <c r="T25" s="86">
        <f>E25-S25</f>
        <v>-4448.4061199999414</v>
      </c>
    </row>
    <row r="26" spans="1:20" s="17" customFormat="1" ht="64.5" customHeight="1" x14ac:dyDescent="0.35">
      <c r="A26" s="120"/>
      <c r="B26" s="121"/>
      <c r="C26" s="122"/>
      <c r="D26" s="18" t="s">
        <v>2</v>
      </c>
      <c r="E26" s="54">
        <f t="shared" si="1"/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6"/>
      <c r="S26" s="75"/>
    </row>
    <row r="27" spans="1:20" s="17" customFormat="1" ht="26.25" customHeight="1" x14ac:dyDescent="0.35">
      <c r="A27" s="120"/>
      <c r="B27" s="121"/>
      <c r="C27" s="122"/>
      <c r="D27" s="18" t="s">
        <v>36</v>
      </c>
      <c r="E27" s="54">
        <f t="shared" si="1"/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6"/>
      <c r="S27" s="75"/>
    </row>
    <row r="28" spans="1:20" s="17" customFormat="1" ht="29.25" customHeight="1" x14ac:dyDescent="0.35">
      <c r="A28" s="120"/>
      <c r="B28" s="121"/>
      <c r="C28" s="122"/>
      <c r="D28" s="18" t="s">
        <v>4</v>
      </c>
      <c r="E28" s="57">
        <f>SUM(F28:Q28)</f>
        <v>3988.9740000000002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69">
        <v>0</v>
      </c>
      <c r="L28" s="69">
        <v>0</v>
      </c>
      <c r="M28" s="78">
        <v>0</v>
      </c>
      <c r="N28" s="69"/>
      <c r="O28" s="69"/>
      <c r="P28" s="69"/>
      <c r="Q28" s="70">
        <f>7953.478-455-1515.803-1993.701</f>
        <v>3988.9740000000002</v>
      </c>
      <c r="R28" s="76">
        <v>0</v>
      </c>
      <c r="S28" s="75"/>
    </row>
    <row r="29" spans="1:20" s="17" customFormat="1" ht="27.75" customHeight="1" x14ac:dyDescent="0.35">
      <c r="A29" s="120" t="s">
        <v>8</v>
      </c>
      <c r="B29" s="121" t="s">
        <v>12</v>
      </c>
      <c r="C29" s="123" t="s">
        <v>62</v>
      </c>
      <c r="D29" s="16" t="s">
        <v>0</v>
      </c>
      <c r="E29" s="44">
        <f>SUM(F29:Q29)</f>
        <v>533.33010000000002</v>
      </c>
      <c r="F29" s="44">
        <f>SUM(F30:F35)</f>
        <v>0</v>
      </c>
      <c r="G29" s="44">
        <f t="shared" ref="G29:Q29" si="2">SUM(G30:G35)</f>
        <v>83.333349999999996</v>
      </c>
      <c r="H29" s="44">
        <f t="shared" si="2"/>
        <v>0</v>
      </c>
      <c r="I29" s="44">
        <f t="shared" si="2"/>
        <v>0</v>
      </c>
      <c r="J29" s="44">
        <f t="shared" si="2"/>
        <v>0</v>
      </c>
      <c r="K29" s="44">
        <f t="shared" si="2"/>
        <v>0</v>
      </c>
      <c r="L29" s="44">
        <f t="shared" si="2"/>
        <v>32.9</v>
      </c>
      <c r="M29" s="44">
        <f t="shared" si="2"/>
        <v>83.33429000000001</v>
      </c>
      <c r="N29" s="44">
        <f t="shared" si="2"/>
        <v>217.09571</v>
      </c>
      <c r="O29" s="44">
        <f t="shared" si="2"/>
        <v>0</v>
      </c>
      <c r="P29" s="44">
        <f t="shared" si="2"/>
        <v>0</v>
      </c>
      <c r="Q29" s="44">
        <f t="shared" si="2"/>
        <v>116.66674999999999</v>
      </c>
      <c r="R29" s="45">
        <f>R32+R35</f>
        <v>341.06207000000001</v>
      </c>
      <c r="S29" s="48"/>
    </row>
    <row r="30" spans="1:20" s="17" customFormat="1" ht="25.5" customHeight="1" x14ac:dyDescent="0.35">
      <c r="A30" s="120"/>
      <c r="B30" s="121"/>
      <c r="C30" s="123"/>
      <c r="D30" s="18" t="s">
        <v>6</v>
      </c>
      <c r="E30" s="54">
        <f t="shared" ref="E30:E35" si="3">SUM(F30:Q30)</f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46"/>
    </row>
    <row r="31" spans="1:20" s="17" customFormat="1" ht="36" customHeight="1" x14ac:dyDescent="0.35">
      <c r="A31" s="120"/>
      <c r="B31" s="121"/>
      <c r="C31" s="123"/>
      <c r="D31" s="18" t="s">
        <v>7</v>
      </c>
      <c r="E31" s="54">
        <f t="shared" si="3"/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46"/>
    </row>
    <row r="32" spans="1:20" s="17" customFormat="1" ht="28.5" customHeight="1" x14ac:dyDescent="0.35">
      <c r="A32" s="120"/>
      <c r="B32" s="121"/>
      <c r="C32" s="123"/>
      <c r="D32" s="18" t="s">
        <v>1</v>
      </c>
      <c r="E32" s="54">
        <f t="shared" si="3"/>
        <v>533.33010000000002</v>
      </c>
      <c r="F32" s="56">
        <v>0</v>
      </c>
      <c r="G32" s="56">
        <v>83.333349999999996</v>
      </c>
      <c r="H32" s="56">
        <v>0</v>
      </c>
      <c r="I32" s="56">
        <v>0</v>
      </c>
      <c r="J32" s="56">
        <v>0</v>
      </c>
      <c r="K32" s="56">
        <v>0</v>
      </c>
      <c r="L32" s="87">
        <v>32.9</v>
      </c>
      <c r="M32" s="87">
        <f>116.23429-32.9</f>
        <v>83.33429000000001</v>
      </c>
      <c r="N32" s="56">
        <f>333.33-116.23429</f>
        <v>217.09571</v>
      </c>
      <c r="O32" s="56">
        <v>0</v>
      </c>
      <c r="P32" s="56">
        <v>0</v>
      </c>
      <c r="Q32" s="56">
        <v>116.66674999999999</v>
      </c>
      <c r="R32" s="47">
        <v>341.06207000000001</v>
      </c>
    </row>
    <row r="33" spans="1:19" s="17" customFormat="1" ht="58.5" customHeight="1" x14ac:dyDescent="0.35">
      <c r="A33" s="120"/>
      <c r="B33" s="121"/>
      <c r="C33" s="123"/>
      <c r="D33" s="18" t="s">
        <v>2</v>
      </c>
      <c r="E33" s="54">
        <f t="shared" si="3"/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47"/>
    </row>
    <row r="34" spans="1:19" s="17" customFormat="1" ht="25.5" customHeight="1" x14ac:dyDescent="0.35">
      <c r="A34" s="120"/>
      <c r="B34" s="121"/>
      <c r="C34" s="123"/>
      <c r="D34" s="18" t="s">
        <v>36</v>
      </c>
      <c r="E34" s="54">
        <f t="shared" si="3"/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47"/>
    </row>
    <row r="35" spans="1:19" s="17" customFormat="1" ht="29.25" customHeight="1" x14ac:dyDescent="0.35">
      <c r="A35" s="120"/>
      <c r="B35" s="121"/>
      <c r="C35" s="123"/>
      <c r="D35" s="18" t="s">
        <v>4</v>
      </c>
      <c r="E35" s="54">
        <f t="shared" si="3"/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47"/>
    </row>
    <row r="36" spans="1:19" s="17" customFormat="1" ht="28.5" customHeight="1" x14ac:dyDescent="0.35">
      <c r="A36" s="120" t="s">
        <v>9</v>
      </c>
      <c r="B36" s="121" t="s">
        <v>13</v>
      </c>
      <c r="C36" s="126" t="s">
        <v>52</v>
      </c>
      <c r="D36" s="16" t="s">
        <v>0</v>
      </c>
      <c r="E36" s="44">
        <f>SUM(F36:Q36)</f>
        <v>6182.1</v>
      </c>
      <c r="F36" s="44">
        <f>SUM(F37:F42)</f>
        <v>42.245739999999991</v>
      </c>
      <c r="G36" s="44">
        <f t="shared" ref="G36:Q36" si="4">SUM(G37:G42)</f>
        <v>533.81740000000002</v>
      </c>
      <c r="H36" s="44">
        <f t="shared" si="4"/>
        <v>952.77320999999995</v>
      </c>
      <c r="I36" s="44">
        <f t="shared" si="4"/>
        <v>529.66009999999994</v>
      </c>
      <c r="J36" s="44">
        <f t="shared" si="4"/>
        <v>277.30900000000003</v>
      </c>
      <c r="K36" s="44">
        <f t="shared" si="4"/>
        <v>687.46</v>
      </c>
      <c r="L36" s="44">
        <f t="shared" si="4"/>
        <v>1283.94415</v>
      </c>
      <c r="M36" s="44">
        <f t="shared" si="4"/>
        <v>629.71699999999998</v>
      </c>
      <c r="N36" s="44">
        <f t="shared" si="4"/>
        <v>264.18900000000002</v>
      </c>
      <c r="O36" s="44">
        <f t="shared" si="4"/>
        <v>254.03699999999998</v>
      </c>
      <c r="P36" s="44">
        <f t="shared" si="4"/>
        <v>642.18541000000005</v>
      </c>
      <c r="Q36" s="44">
        <f t="shared" si="4"/>
        <v>84.761989999999997</v>
      </c>
      <c r="R36" s="45">
        <f>R37+R38+R41</f>
        <v>7616.5969999999998</v>
      </c>
    </row>
    <row r="37" spans="1:19" s="17" customFormat="1" ht="32.25" customHeight="1" x14ac:dyDescent="0.35">
      <c r="A37" s="120"/>
      <c r="B37" s="121"/>
      <c r="C37" s="126"/>
      <c r="D37" s="18" t="s">
        <v>6</v>
      </c>
      <c r="E37" s="54">
        <f t="shared" ref="E37:E42" si="5">SUM(F37:Q37)</f>
        <v>5128.2</v>
      </c>
      <c r="F37" s="79">
        <f>0.075+32.74</f>
        <v>32.815000000000005</v>
      </c>
      <c r="G37" s="70">
        <f>532.075-107.5276</f>
        <v>424.54740000000004</v>
      </c>
      <c r="H37" s="70">
        <f>346.605+136.17+349.66921</f>
        <v>832.44421</v>
      </c>
      <c r="I37" s="70">
        <f>322.945+21.84+134.7</f>
        <v>479.48499999999996</v>
      </c>
      <c r="J37" s="69">
        <f>213.709+39</f>
        <v>252.709</v>
      </c>
      <c r="K37" s="69">
        <f>503.241+148.2</f>
        <v>651.44100000000003</v>
      </c>
      <c r="L37" s="88">
        <f>960.901+211.953-45.23885+70</f>
        <v>1197.6151500000001</v>
      </c>
      <c r="M37" s="88">
        <f>680.15+19.567-70</f>
        <v>629.71699999999998</v>
      </c>
      <c r="N37" s="69">
        <f>73.675+11.695+167.399</f>
        <v>252.76900000000001</v>
      </c>
      <c r="O37" s="70">
        <f>0.075+32</f>
        <v>32.075000000000003</v>
      </c>
      <c r="P37" s="70">
        <f>550.375+11.7-254.60575</f>
        <v>307.46925000000005</v>
      </c>
      <c r="Q37" s="69">
        <v>35.112990000000003</v>
      </c>
      <c r="R37" s="47">
        <v>4852.6000000000004</v>
      </c>
    </row>
    <row r="38" spans="1:19" s="17" customFormat="1" ht="36" customHeight="1" x14ac:dyDescent="0.35">
      <c r="A38" s="120"/>
      <c r="B38" s="121"/>
      <c r="C38" s="126"/>
      <c r="D38" s="18" t="s">
        <v>7</v>
      </c>
      <c r="E38" s="54">
        <f t="shared" si="5"/>
        <v>1053.9000000000001</v>
      </c>
      <c r="F38" s="79">
        <f>159.6+70.285-220.45426</f>
        <v>9.4307399999999859</v>
      </c>
      <c r="G38" s="79">
        <f>65.37+48.4-4.5</f>
        <v>109.27000000000001</v>
      </c>
      <c r="H38" s="79">
        <v>120.32899999999999</v>
      </c>
      <c r="I38" s="79">
        <v>50.1751</v>
      </c>
      <c r="J38" s="79">
        <v>24.6</v>
      </c>
      <c r="K38" s="69">
        <f>24.6+11.419</f>
        <v>36.019000000000005</v>
      </c>
      <c r="L38" s="88">
        <f>20.91+5.419+60</f>
        <v>86.329000000000008</v>
      </c>
      <c r="M38" s="70">
        <v>0</v>
      </c>
      <c r="N38" s="70">
        <v>11.42</v>
      </c>
      <c r="O38" s="88">
        <f>281.962-60</f>
        <v>221.96199999999999</v>
      </c>
      <c r="P38" s="70">
        <v>334.71616</v>
      </c>
      <c r="Q38" s="70">
        <v>49.649000000000001</v>
      </c>
      <c r="R38" s="47">
        <f>469.8+1147.097</f>
        <v>1616.8969999999999</v>
      </c>
      <c r="S38" s="34"/>
    </row>
    <row r="39" spans="1:19" s="17" customFormat="1" ht="22.5" customHeight="1" x14ac:dyDescent="0.35">
      <c r="A39" s="120"/>
      <c r="B39" s="121"/>
      <c r="C39" s="126"/>
      <c r="D39" s="18" t="s">
        <v>1</v>
      </c>
      <c r="E39" s="54">
        <f t="shared" si="5"/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/>
      <c r="R39" s="47"/>
    </row>
    <row r="40" spans="1:19" s="17" customFormat="1" ht="54" x14ac:dyDescent="0.35">
      <c r="A40" s="120"/>
      <c r="B40" s="121"/>
      <c r="C40" s="126"/>
      <c r="D40" s="18" t="s">
        <v>2</v>
      </c>
      <c r="E40" s="54">
        <f t="shared" si="5"/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47"/>
    </row>
    <row r="41" spans="1:19" s="17" customFormat="1" ht="28.5" customHeight="1" x14ac:dyDescent="0.35">
      <c r="A41" s="120"/>
      <c r="B41" s="121"/>
      <c r="C41" s="126"/>
      <c r="D41" s="18" t="s">
        <v>36</v>
      </c>
      <c r="E41" s="54">
        <f t="shared" si="5"/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47">
        <v>1147.0999999999999</v>
      </c>
    </row>
    <row r="42" spans="1:19" s="17" customFormat="1" ht="27.75" customHeight="1" x14ac:dyDescent="0.35">
      <c r="A42" s="120"/>
      <c r="B42" s="121"/>
      <c r="C42" s="126"/>
      <c r="D42" s="18" t="s">
        <v>4</v>
      </c>
      <c r="E42" s="54">
        <f t="shared" si="5"/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46"/>
    </row>
    <row r="43" spans="1:19" s="17" customFormat="1" ht="27.75" customHeight="1" x14ac:dyDescent="0.35">
      <c r="A43" s="120" t="s">
        <v>10</v>
      </c>
      <c r="B43" s="121" t="s">
        <v>14</v>
      </c>
      <c r="C43" s="127" t="s">
        <v>65</v>
      </c>
      <c r="D43" s="16" t="s">
        <v>0</v>
      </c>
      <c r="E43" s="44">
        <f>SUM(F43:Q43)</f>
        <v>5126.5684699999993</v>
      </c>
      <c r="F43" s="44">
        <f>SUM(F44:F49)</f>
        <v>0</v>
      </c>
      <c r="G43" s="44">
        <f t="shared" ref="G43:Q43" si="6">SUM(G44:G49)</f>
        <v>443.56279999999998</v>
      </c>
      <c r="H43" s="44">
        <f t="shared" si="6"/>
        <v>498.56279999999998</v>
      </c>
      <c r="I43" s="44">
        <f t="shared" si="6"/>
        <v>460.56279999999998</v>
      </c>
      <c r="J43" s="44">
        <f t="shared" si="6"/>
        <v>405.56279999999998</v>
      </c>
      <c r="K43" s="44">
        <f t="shared" si="6"/>
        <v>436.14814999999999</v>
      </c>
      <c r="L43" s="44">
        <f t="shared" si="6"/>
        <v>561.5258</v>
      </c>
      <c r="M43" s="44">
        <f t="shared" si="6"/>
        <v>381.92579999999998</v>
      </c>
      <c r="N43" s="44">
        <f t="shared" si="6"/>
        <v>635.52332000000001</v>
      </c>
      <c r="O43" s="44">
        <f t="shared" si="6"/>
        <v>451.92579999999998</v>
      </c>
      <c r="P43" s="44">
        <f t="shared" si="6"/>
        <v>523.92579999999998</v>
      </c>
      <c r="Q43" s="44">
        <f t="shared" si="6"/>
        <v>327.34259999999995</v>
      </c>
      <c r="R43" s="45">
        <f>R45+R46+R49</f>
        <v>7462.5356499999998</v>
      </c>
    </row>
    <row r="44" spans="1:19" s="17" customFormat="1" ht="23.25" customHeight="1" x14ac:dyDescent="0.35">
      <c r="A44" s="120"/>
      <c r="B44" s="121"/>
      <c r="C44" s="127"/>
      <c r="D44" s="18" t="s">
        <v>6</v>
      </c>
      <c r="E44" s="54">
        <f t="shared" ref="E44:E49" si="7">SUM(F44:Q44)</f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46"/>
    </row>
    <row r="45" spans="1:19" s="17" customFormat="1" ht="36.75" customHeight="1" x14ac:dyDescent="0.35">
      <c r="A45" s="120"/>
      <c r="B45" s="121"/>
      <c r="C45" s="127"/>
      <c r="D45" s="18" t="s">
        <v>7</v>
      </c>
      <c r="E45" s="54">
        <f>SUM(F45:Q45)</f>
        <v>179.6</v>
      </c>
      <c r="F45" s="55">
        <v>0</v>
      </c>
      <c r="G45" s="55">
        <v>0</v>
      </c>
      <c r="H45" s="55">
        <v>0</v>
      </c>
      <c r="I45" s="55"/>
      <c r="J45" s="55">
        <v>0</v>
      </c>
      <c r="K45" s="55">
        <v>0</v>
      </c>
      <c r="L45" s="55">
        <v>179.6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47">
        <v>175.3</v>
      </c>
    </row>
    <row r="46" spans="1:19" s="17" customFormat="1" ht="26.25" customHeight="1" x14ac:dyDescent="0.35">
      <c r="A46" s="120"/>
      <c r="B46" s="121"/>
      <c r="C46" s="127"/>
      <c r="D46" s="18" t="s">
        <v>1</v>
      </c>
      <c r="E46" s="57">
        <f>SUM(F46:Q46)</f>
        <v>4946.9684699999998</v>
      </c>
      <c r="F46" s="83">
        <v>0</v>
      </c>
      <c r="G46" s="55">
        <v>443.56279999999998</v>
      </c>
      <c r="H46" s="55">
        <v>498.56279999999998</v>
      </c>
      <c r="I46" s="55">
        <v>460.56279999999998</v>
      </c>
      <c r="J46" s="55">
        <v>405.56279999999998</v>
      </c>
      <c r="K46" s="55">
        <v>436.14814999999999</v>
      </c>
      <c r="L46" s="55">
        <v>381.92579999999998</v>
      </c>
      <c r="M46" s="55">
        <v>381.92579999999998</v>
      </c>
      <c r="N46" s="55">
        <v>635.52332000000001</v>
      </c>
      <c r="O46" s="55">
        <v>451.92579999999998</v>
      </c>
      <c r="P46" s="55">
        <v>523.92579999999998</v>
      </c>
      <c r="Q46" s="88">
        <f>1557.3426-1230</f>
        <v>327.34259999999995</v>
      </c>
      <c r="R46" s="47">
        <v>7287.2356499999996</v>
      </c>
    </row>
    <row r="47" spans="1:19" s="17" customFormat="1" ht="51" customHeight="1" x14ac:dyDescent="0.35">
      <c r="A47" s="120"/>
      <c r="B47" s="121"/>
      <c r="C47" s="127"/>
      <c r="D47" s="18" t="s">
        <v>2</v>
      </c>
      <c r="E47" s="54">
        <f t="shared" si="7"/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47"/>
    </row>
    <row r="48" spans="1:19" s="17" customFormat="1" ht="33.75" customHeight="1" x14ac:dyDescent="0.35">
      <c r="A48" s="120"/>
      <c r="B48" s="121"/>
      <c r="C48" s="127"/>
      <c r="D48" s="18" t="s">
        <v>36</v>
      </c>
      <c r="E48" s="54">
        <f t="shared" si="7"/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47"/>
    </row>
    <row r="49" spans="1:18" s="17" customFormat="1" ht="35.25" customHeight="1" x14ac:dyDescent="0.35">
      <c r="A49" s="120"/>
      <c r="B49" s="121"/>
      <c r="C49" s="127"/>
      <c r="D49" s="18" t="s">
        <v>4</v>
      </c>
      <c r="E49" s="54">
        <f t="shared" si="7"/>
        <v>0</v>
      </c>
      <c r="F49" s="56">
        <v>0</v>
      </c>
      <c r="G49" s="56">
        <v>0</v>
      </c>
      <c r="H49" s="56">
        <v>0</v>
      </c>
      <c r="I49" s="49">
        <v>0</v>
      </c>
      <c r="J49" s="56">
        <v>0</v>
      </c>
      <c r="K49" s="56"/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47"/>
    </row>
    <row r="50" spans="1:18" s="17" customFormat="1" ht="24" customHeight="1" x14ac:dyDescent="0.35">
      <c r="A50" s="120" t="s">
        <v>42</v>
      </c>
      <c r="B50" s="121" t="s">
        <v>15</v>
      </c>
      <c r="C50" s="128" t="s">
        <v>51</v>
      </c>
      <c r="D50" s="19" t="s">
        <v>0</v>
      </c>
      <c r="E50" s="44">
        <f>SUM(F50:Q50)</f>
        <v>1385</v>
      </c>
      <c r="F50" s="50">
        <f>SUM(F51:F56)</f>
        <v>0</v>
      </c>
      <c r="G50" s="50">
        <f t="shared" ref="G50:Q50" si="8">SUM(G51:G56)</f>
        <v>94</v>
      </c>
      <c r="H50" s="50">
        <f t="shared" si="8"/>
        <v>180</v>
      </c>
      <c r="I50" s="50">
        <f t="shared" si="8"/>
        <v>131</v>
      </c>
      <c r="J50" s="50">
        <f t="shared" si="8"/>
        <v>150</v>
      </c>
      <c r="K50" s="50">
        <f t="shared" si="8"/>
        <v>51</v>
      </c>
      <c r="L50" s="50">
        <f t="shared" si="8"/>
        <v>130</v>
      </c>
      <c r="M50" s="50">
        <f t="shared" si="8"/>
        <v>74</v>
      </c>
      <c r="N50" s="50">
        <f t="shared" si="8"/>
        <v>495</v>
      </c>
      <c r="O50" s="50">
        <f t="shared" si="8"/>
        <v>80</v>
      </c>
      <c r="P50" s="50">
        <f t="shared" si="8"/>
        <v>0</v>
      </c>
      <c r="Q50" s="50">
        <f t="shared" si="8"/>
        <v>0</v>
      </c>
      <c r="R50" s="45">
        <f>R53+R56</f>
        <v>833.9</v>
      </c>
    </row>
    <row r="51" spans="1:18" s="17" customFormat="1" ht="22.5" customHeight="1" x14ac:dyDescent="0.35">
      <c r="A51" s="120"/>
      <c r="B51" s="121"/>
      <c r="C51" s="128"/>
      <c r="D51" s="20" t="s">
        <v>6</v>
      </c>
      <c r="E51" s="54">
        <f t="shared" ref="E51:E56" si="9">SUM(F51:Q51)</f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46"/>
    </row>
    <row r="52" spans="1:18" s="17" customFormat="1" ht="41.25" customHeight="1" x14ac:dyDescent="0.35">
      <c r="A52" s="120"/>
      <c r="B52" s="121"/>
      <c r="C52" s="128"/>
      <c r="D52" s="20" t="s">
        <v>7</v>
      </c>
      <c r="E52" s="54">
        <f t="shared" si="9"/>
        <v>0</v>
      </c>
      <c r="F52" s="51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51">
        <v>0</v>
      </c>
      <c r="Q52" s="51">
        <v>0</v>
      </c>
      <c r="R52" s="46"/>
    </row>
    <row r="53" spans="1:18" s="17" customFormat="1" ht="22.5" customHeight="1" x14ac:dyDescent="0.35">
      <c r="A53" s="120"/>
      <c r="B53" s="121"/>
      <c r="C53" s="128"/>
      <c r="D53" s="20" t="s">
        <v>1</v>
      </c>
      <c r="E53" s="54">
        <f t="shared" si="9"/>
        <v>1385</v>
      </c>
      <c r="F53" s="73"/>
      <c r="G53" s="73">
        <f>29+65</f>
        <v>94</v>
      </c>
      <c r="H53" s="51">
        <f>30+105+30+15</f>
        <v>180</v>
      </c>
      <c r="I53" s="51">
        <f>50+37+20+24</f>
        <v>131</v>
      </c>
      <c r="J53" s="51">
        <f>60+70+20</f>
        <v>150</v>
      </c>
      <c r="K53" s="51">
        <f>20+15+16</f>
        <v>51</v>
      </c>
      <c r="L53" s="84">
        <f>30+100</f>
        <v>130</v>
      </c>
      <c r="M53" s="51">
        <f>20+54</f>
        <v>74</v>
      </c>
      <c r="N53" s="84">
        <f>60+20+15+500-100</f>
        <v>495</v>
      </c>
      <c r="O53" s="51">
        <f>45+30+5</f>
        <v>80</v>
      </c>
      <c r="P53" s="51">
        <v>0</v>
      </c>
      <c r="Q53" s="51">
        <v>0</v>
      </c>
      <c r="R53" s="47">
        <f>310+108.9+205</f>
        <v>623.9</v>
      </c>
    </row>
    <row r="54" spans="1:18" s="17" customFormat="1" ht="60" customHeight="1" x14ac:dyDescent="0.35">
      <c r="A54" s="120"/>
      <c r="B54" s="121"/>
      <c r="C54" s="128"/>
      <c r="D54" s="20" t="s">
        <v>2</v>
      </c>
      <c r="E54" s="54">
        <f t="shared" si="9"/>
        <v>0</v>
      </c>
      <c r="F54" s="51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51">
        <v>0</v>
      </c>
      <c r="Q54" s="51">
        <v>0</v>
      </c>
      <c r="R54" s="47"/>
    </row>
    <row r="55" spans="1:18" s="17" customFormat="1" ht="33.75" customHeight="1" x14ac:dyDescent="0.35">
      <c r="A55" s="120"/>
      <c r="B55" s="121"/>
      <c r="C55" s="128"/>
      <c r="D55" s="18" t="s">
        <v>36</v>
      </c>
      <c r="E55" s="54">
        <f t="shared" si="9"/>
        <v>0</v>
      </c>
      <c r="F55" s="55">
        <v>0</v>
      </c>
      <c r="G55" s="70">
        <v>0</v>
      </c>
      <c r="H55" s="85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55">
        <v>0</v>
      </c>
      <c r="Q55" s="55">
        <v>0</v>
      </c>
      <c r="R55" s="47"/>
    </row>
    <row r="56" spans="1:18" s="17" customFormat="1" ht="22.5" customHeight="1" x14ac:dyDescent="0.35">
      <c r="A56" s="120"/>
      <c r="B56" s="121"/>
      <c r="C56" s="128"/>
      <c r="D56" s="20" t="s">
        <v>4</v>
      </c>
      <c r="E56" s="54">
        <f t="shared" si="9"/>
        <v>0</v>
      </c>
      <c r="F56" s="51">
        <v>0</v>
      </c>
      <c r="G56" s="73">
        <f>65-65</f>
        <v>0</v>
      </c>
      <c r="H56" s="51">
        <f>15-15</f>
        <v>0</v>
      </c>
      <c r="I56" s="51">
        <f>24-24</f>
        <v>0</v>
      </c>
      <c r="J56" s="51">
        <v>0</v>
      </c>
      <c r="K56" s="51">
        <f>16-16</f>
        <v>0</v>
      </c>
      <c r="L56" s="51">
        <v>0</v>
      </c>
      <c r="M56" s="51">
        <v>0</v>
      </c>
      <c r="N56" s="51">
        <v>0</v>
      </c>
      <c r="O56" s="51">
        <f>5-5</f>
        <v>0</v>
      </c>
      <c r="P56" s="51">
        <v>0</v>
      </c>
      <c r="Q56" s="73"/>
      <c r="R56" s="47">
        <f>90+60+60</f>
        <v>210</v>
      </c>
    </row>
    <row r="57" spans="1:18" s="17" customFormat="1" ht="22.5" customHeight="1" x14ac:dyDescent="0.35">
      <c r="A57" s="120" t="s">
        <v>43</v>
      </c>
      <c r="B57" s="121" t="s">
        <v>16</v>
      </c>
      <c r="C57" s="128" t="s">
        <v>51</v>
      </c>
      <c r="D57" s="19" t="s">
        <v>0</v>
      </c>
      <c r="E57" s="44">
        <f>SUM(F57:Q57)</f>
        <v>60</v>
      </c>
      <c r="F57" s="50">
        <f>SUM(F58:F63)</f>
        <v>0</v>
      </c>
      <c r="G57" s="50">
        <f t="shared" ref="G57:Q57" si="10">SUM(G58:G63)</f>
        <v>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 t="shared" si="10"/>
        <v>0</v>
      </c>
      <c r="L57" s="50">
        <f t="shared" si="10"/>
        <v>0</v>
      </c>
      <c r="M57" s="50">
        <f t="shared" si="10"/>
        <v>0</v>
      </c>
      <c r="N57" s="50">
        <f t="shared" si="10"/>
        <v>60</v>
      </c>
      <c r="O57" s="50">
        <f t="shared" si="10"/>
        <v>0</v>
      </c>
      <c r="P57" s="50">
        <f t="shared" si="10"/>
        <v>0</v>
      </c>
      <c r="Q57" s="50">
        <f t="shared" si="10"/>
        <v>0</v>
      </c>
      <c r="R57" s="45">
        <f>R60</f>
        <v>60</v>
      </c>
    </row>
    <row r="58" spans="1:18" s="17" customFormat="1" ht="22.5" customHeight="1" x14ac:dyDescent="0.35">
      <c r="A58" s="120"/>
      <c r="B58" s="121"/>
      <c r="C58" s="128"/>
      <c r="D58" s="20" t="s">
        <v>6</v>
      </c>
      <c r="E58" s="54">
        <f t="shared" ref="E58:E63" si="11">SUM(F58:Q58)</f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46"/>
    </row>
    <row r="59" spans="1:18" s="17" customFormat="1" ht="39.75" customHeight="1" x14ac:dyDescent="0.35">
      <c r="A59" s="120"/>
      <c r="B59" s="121"/>
      <c r="C59" s="128"/>
      <c r="D59" s="20" t="s">
        <v>7</v>
      </c>
      <c r="E59" s="54">
        <f t="shared" si="11"/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46"/>
    </row>
    <row r="60" spans="1:18" s="17" customFormat="1" ht="28.5" customHeight="1" x14ac:dyDescent="0.35">
      <c r="A60" s="120"/>
      <c r="B60" s="121"/>
      <c r="C60" s="128"/>
      <c r="D60" s="20" t="s">
        <v>1</v>
      </c>
      <c r="E60" s="54">
        <f t="shared" si="11"/>
        <v>60</v>
      </c>
      <c r="F60" s="51">
        <v>0</v>
      </c>
      <c r="G60" s="51">
        <v>0</v>
      </c>
      <c r="H60" s="51">
        <v>0</v>
      </c>
      <c r="I60" s="51"/>
      <c r="J60" s="51">
        <v>0</v>
      </c>
      <c r="K60" s="51">
        <v>0</v>
      </c>
      <c r="L60" s="51">
        <v>0</v>
      </c>
      <c r="M60" s="51">
        <v>0</v>
      </c>
      <c r="N60" s="51">
        <v>60</v>
      </c>
      <c r="O60" s="51">
        <v>0</v>
      </c>
      <c r="P60" s="51">
        <v>0</v>
      </c>
      <c r="Q60" s="51">
        <v>0</v>
      </c>
      <c r="R60" s="47">
        <v>60</v>
      </c>
    </row>
    <row r="61" spans="1:18" s="17" customFormat="1" ht="60" customHeight="1" x14ac:dyDescent="0.35">
      <c r="A61" s="120"/>
      <c r="B61" s="121"/>
      <c r="C61" s="128"/>
      <c r="D61" s="20" t="s">
        <v>2</v>
      </c>
      <c r="E61" s="54">
        <f t="shared" si="11"/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46"/>
    </row>
    <row r="62" spans="1:18" s="17" customFormat="1" ht="33.75" customHeight="1" x14ac:dyDescent="0.35">
      <c r="A62" s="120"/>
      <c r="B62" s="121"/>
      <c r="C62" s="128"/>
      <c r="D62" s="18" t="s">
        <v>36</v>
      </c>
      <c r="E62" s="54">
        <f t="shared" si="11"/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46"/>
    </row>
    <row r="63" spans="1:18" s="17" customFormat="1" ht="28.5" customHeight="1" x14ac:dyDescent="0.35">
      <c r="A63" s="120"/>
      <c r="B63" s="121"/>
      <c r="C63" s="128"/>
      <c r="D63" s="20" t="s">
        <v>4</v>
      </c>
      <c r="E63" s="54">
        <f t="shared" si="11"/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46"/>
    </row>
    <row r="64" spans="1:18" s="17" customFormat="1" ht="24.75" customHeight="1" x14ac:dyDescent="0.35">
      <c r="A64" s="120" t="s">
        <v>44</v>
      </c>
      <c r="B64" s="121" t="s">
        <v>17</v>
      </c>
      <c r="C64" s="128" t="s">
        <v>51</v>
      </c>
      <c r="D64" s="19" t="s">
        <v>0</v>
      </c>
      <c r="E64" s="44">
        <f>SUM(F64:Q64)</f>
        <v>125</v>
      </c>
      <c r="F64" s="50">
        <f>SUM(F65:F70)</f>
        <v>0</v>
      </c>
      <c r="G64" s="50">
        <f t="shared" ref="G64:Q64" si="12">SUM(G65:G70)</f>
        <v>0</v>
      </c>
      <c r="H64" s="50">
        <f t="shared" si="12"/>
        <v>0</v>
      </c>
      <c r="I64" s="50">
        <f t="shared" si="12"/>
        <v>0</v>
      </c>
      <c r="J64" s="50">
        <f t="shared" si="12"/>
        <v>0</v>
      </c>
      <c r="K64" s="50">
        <f t="shared" si="12"/>
        <v>0</v>
      </c>
      <c r="L64" s="50">
        <f t="shared" si="12"/>
        <v>0</v>
      </c>
      <c r="M64" s="50">
        <f t="shared" si="12"/>
        <v>125</v>
      </c>
      <c r="N64" s="50">
        <f t="shared" si="12"/>
        <v>0</v>
      </c>
      <c r="O64" s="50">
        <f t="shared" si="12"/>
        <v>0</v>
      </c>
      <c r="P64" s="50">
        <f t="shared" si="12"/>
        <v>0</v>
      </c>
      <c r="Q64" s="50">
        <f t="shared" si="12"/>
        <v>0</v>
      </c>
      <c r="R64" s="45">
        <f>R67</f>
        <v>125</v>
      </c>
    </row>
    <row r="65" spans="1:18" s="17" customFormat="1" ht="32.25" customHeight="1" x14ac:dyDescent="0.35">
      <c r="A65" s="120"/>
      <c r="B65" s="121"/>
      <c r="C65" s="128"/>
      <c r="D65" s="20" t="s">
        <v>6</v>
      </c>
      <c r="E65" s="54">
        <f t="shared" ref="E65:E70" si="13">SUM(F65:Q65)</f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46"/>
    </row>
    <row r="66" spans="1:18" s="17" customFormat="1" ht="39.75" customHeight="1" x14ac:dyDescent="0.35">
      <c r="A66" s="120"/>
      <c r="B66" s="121"/>
      <c r="C66" s="128"/>
      <c r="D66" s="20" t="s">
        <v>7</v>
      </c>
      <c r="E66" s="54">
        <f t="shared" si="13"/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46"/>
    </row>
    <row r="67" spans="1:18" s="17" customFormat="1" ht="30" customHeight="1" x14ac:dyDescent="0.35">
      <c r="A67" s="120"/>
      <c r="B67" s="121"/>
      <c r="C67" s="128"/>
      <c r="D67" s="20" t="s">
        <v>1</v>
      </c>
      <c r="E67" s="54">
        <f t="shared" si="13"/>
        <v>125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/>
      <c r="L67" s="51">
        <v>0</v>
      </c>
      <c r="M67" s="51">
        <v>125</v>
      </c>
      <c r="N67" s="51">
        <v>0</v>
      </c>
      <c r="O67" s="51">
        <v>0</v>
      </c>
      <c r="P67" s="51">
        <v>0</v>
      </c>
      <c r="Q67" s="51">
        <v>0</v>
      </c>
      <c r="R67" s="47">
        <v>125</v>
      </c>
    </row>
    <row r="68" spans="1:18" s="17" customFormat="1" ht="60" customHeight="1" x14ac:dyDescent="0.35">
      <c r="A68" s="120"/>
      <c r="B68" s="121"/>
      <c r="C68" s="128"/>
      <c r="D68" s="20" t="s">
        <v>2</v>
      </c>
      <c r="E68" s="54">
        <f t="shared" si="13"/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46"/>
    </row>
    <row r="69" spans="1:18" s="17" customFormat="1" ht="33.75" customHeight="1" x14ac:dyDescent="0.35">
      <c r="A69" s="120"/>
      <c r="B69" s="121"/>
      <c r="C69" s="128"/>
      <c r="D69" s="18" t="s">
        <v>36</v>
      </c>
      <c r="E69" s="54">
        <f t="shared" si="13"/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46"/>
    </row>
    <row r="70" spans="1:18" s="17" customFormat="1" ht="27.75" customHeight="1" x14ac:dyDescent="0.35">
      <c r="A70" s="120"/>
      <c r="B70" s="121"/>
      <c r="C70" s="128"/>
      <c r="D70" s="20" t="s">
        <v>4</v>
      </c>
      <c r="E70" s="54">
        <f t="shared" si="13"/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46"/>
    </row>
    <row r="71" spans="1:18" s="17" customFormat="1" ht="27.75" customHeight="1" x14ac:dyDescent="0.35">
      <c r="A71" s="120" t="s">
        <v>45</v>
      </c>
      <c r="B71" s="121" t="s">
        <v>58</v>
      </c>
      <c r="C71" s="128" t="s">
        <v>51</v>
      </c>
      <c r="D71" s="19" t="s">
        <v>0</v>
      </c>
      <c r="E71" s="44">
        <f>SUM(F71:Q71)</f>
        <v>0</v>
      </c>
      <c r="F71" s="50">
        <f>SUM(F72:F77)</f>
        <v>0</v>
      </c>
      <c r="G71" s="50">
        <f t="shared" ref="G71:Q71" si="14">SUM(G72:G77)</f>
        <v>0</v>
      </c>
      <c r="H71" s="50">
        <f t="shared" si="14"/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  <c r="Q71" s="50">
        <f t="shared" si="14"/>
        <v>0</v>
      </c>
      <c r="R71" s="46"/>
    </row>
    <row r="72" spans="1:18" s="17" customFormat="1" ht="27.75" customHeight="1" x14ac:dyDescent="0.35">
      <c r="A72" s="120"/>
      <c r="B72" s="121"/>
      <c r="C72" s="128"/>
      <c r="D72" s="20" t="s">
        <v>6</v>
      </c>
      <c r="E72" s="54">
        <f t="shared" ref="E72:E77" si="15">SUM(F72:Q72)</f>
        <v>0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46"/>
    </row>
    <row r="73" spans="1:18" s="17" customFormat="1" ht="39" customHeight="1" x14ac:dyDescent="0.35">
      <c r="A73" s="120"/>
      <c r="B73" s="121"/>
      <c r="C73" s="128"/>
      <c r="D73" s="20" t="s">
        <v>7</v>
      </c>
      <c r="E73" s="54">
        <f t="shared" si="15"/>
        <v>0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46"/>
    </row>
    <row r="74" spans="1:18" s="17" customFormat="1" ht="27.75" customHeight="1" x14ac:dyDescent="0.35">
      <c r="A74" s="120"/>
      <c r="B74" s="121"/>
      <c r="C74" s="128"/>
      <c r="D74" s="20" t="s">
        <v>1</v>
      </c>
      <c r="E74" s="54">
        <f t="shared" si="15"/>
        <v>0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46"/>
    </row>
    <row r="75" spans="1:18" s="17" customFormat="1" ht="59.25" customHeight="1" x14ac:dyDescent="0.35">
      <c r="A75" s="120"/>
      <c r="B75" s="121"/>
      <c r="C75" s="128"/>
      <c r="D75" s="20" t="s">
        <v>2</v>
      </c>
      <c r="E75" s="54">
        <f t="shared" si="15"/>
        <v>0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46"/>
    </row>
    <row r="76" spans="1:18" s="17" customFormat="1" ht="31.5" customHeight="1" x14ac:dyDescent="0.35">
      <c r="A76" s="120"/>
      <c r="B76" s="121"/>
      <c r="C76" s="128"/>
      <c r="D76" s="18" t="s">
        <v>36</v>
      </c>
      <c r="E76" s="54">
        <f t="shared" si="15"/>
        <v>0</v>
      </c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46"/>
    </row>
    <row r="77" spans="1:18" s="17" customFormat="1" ht="27.75" customHeight="1" x14ac:dyDescent="0.35">
      <c r="A77" s="120"/>
      <c r="B77" s="121"/>
      <c r="C77" s="128"/>
      <c r="D77" s="20" t="s">
        <v>4</v>
      </c>
      <c r="E77" s="54">
        <f t="shared" si="15"/>
        <v>0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46"/>
    </row>
    <row r="78" spans="1:18" s="39" customFormat="1" ht="27.75" customHeight="1" x14ac:dyDescent="0.35">
      <c r="A78" s="129" t="s">
        <v>59</v>
      </c>
      <c r="B78" s="121" t="s">
        <v>60</v>
      </c>
      <c r="C78" s="123" t="s">
        <v>63</v>
      </c>
      <c r="D78" s="38" t="s">
        <v>0</v>
      </c>
      <c r="E78" s="52">
        <f>SUM(F78:Q78)</f>
        <v>156017.95973</v>
      </c>
      <c r="F78" s="52">
        <f>SUM(F79:F84)</f>
        <v>13956.22313</v>
      </c>
      <c r="G78" s="52">
        <f t="shared" ref="G78:Q78" si="16">SUM(G79:G84)</f>
        <v>12605.081470000001</v>
      </c>
      <c r="H78" s="52">
        <f t="shared" si="16"/>
        <v>10507.494989999999</v>
      </c>
      <c r="I78" s="52">
        <f t="shared" si="16"/>
        <v>11857.438099999999</v>
      </c>
      <c r="J78" s="52">
        <f t="shared" si="16"/>
        <v>10908.15243</v>
      </c>
      <c r="K78" s="52">
        <f t="shared" si="16"/>
        <v>16293.35252</v>
      </c>
      <c r="L78" s="52">
        <f t="shared" si="16"/>
        <v>19791.089010000003</v>
      </c>
      <c r="M78" s="52">
        <f t="shared" si="16"/>
        <v>11457.93354</v>
      </c>
      <c r="N78" s="52">
        <f>SUM(N79:N84)</f>
        <v>10828.433440000001</v>
      </c>
      <c r="O78" s="52">
        <f>SUM(O79:O84)</f>
        <v>11061.18858</v>
      </c>
      <c r="P78" s="52">
        <f t="shared" si="16"/>
        <v>10524.44665</v>
      </c>
      <c r="Q78" s="52">
        <f t="shared" si="16"/>
        <v>16227.12587</v>
      </c>
      <c r="R78" s="45">
        <f>R80+R81+R84</f>
        <v>102525.7</v>
      </c>
    </row>
    <row r="79" spans="1:18" s="39" customFormat="1" ht="27" customHeight="1" x14ac:dyDescent="0.35">
      <c r="A79" s="129"/>
      <c r="B79" s="121"/>
      <c r="C79" s="123"/>
      <c r="D79" s="40" t="s">
        <v>6</v>
      </c>
      <c r="E79" s="57">
        <f t="shared" ref="E79:E81" si="17">SUM(F79:Q79)</f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46"/>
    </row>
    <row r="80" spans="1:18" s="39" customFormat="1" ht="40.5" customHeight="1" x14ac:dyDescent="0.35">
      <c r="A80" s="129"/>
      <c r="B80" s="121"/>
      <c r="C80" s="123"/>
      <c r="D80" s="40" t="s">
        <v>7</v>
      </c>
      <c r="E80" s="57">
        <f>G80+H80+I80+J80+K80+L80+M80+N80+O80+P80+Q80+F80</f>
        <v>95128.79873000001</v>
      </c>
      <c r="F80" s="56">
        <v>0</v>
      </c>
      <c r="G80" s="56">
        <f>5306.784+5799.06263</f>
        <v>11105.84663</v>
      </c>
      <c r="H80" s="56">
        <f>7282.09977-5799.06263+4204.44873</f>
        <v>5687.4858699999995</v>
      </c>
      <c r="I80" s="56">
        <f>7327.39977-4204.45</f>
        <v>3122.9497700000002</v>
      </c>
      <c r="J80" s="56">
        <v>8681.6103000000003</v>
      </c>
      <c r="K80" s="56">
        <v>10113.476350000001</v>
      </c>
      <c r="L80" s="87">
        <f>10622.39048+7000</f>
        <v>17622.390480000002</v>
      </c>
      <c r="M80" s="87">
        <f>11482.79048-3000</f>
        <v>8482.7904799999997</v>
      </c>
      <c r="N80" s="87">
        <f>9197.28548-2000</f>
        <v>7197.2854800000005</v>
      </c>
      <c r="O80" s="69">
        <v>7584.0997699999998</v>
      </c>
      <c r="P80" s="69">
        <v>7327.39977</v>
      </c>
      <c r="Q80" s="88">
        <f>10203.46385-0.00002-2000</f>
        <v>8203.4638300000006</v>
      </c>
      <c r="R80" s="47">
        <f>37070.2+16193.8</f>
        <v>53264</v>
      </c>
    </row>
    <row r="81" spans="1:19" s="39" customFormat="1" ht="36" customHeight="1" x14ac:dyDescent="0.35">
      <c r="A81" s="129"/>
      <c r="B81" s="121"/>
      <c r="C81" s="123"/>
      <c r="D81" s="40" t="s">
        <v>1</v>
      </c>
      <c r="E81" s="57">
        <f t="shared" si="17"/>
        <v>60889.161000000007</v>
      </c>
      <c r="F81" s="55">
        <v>13956.22313</v>
      </c>
      <c r="G81" s="55">
        <f>5292.63046-3793.39562</f>
        <v>1499.2348400000005</v>
      </c>
      <c r="H81" s="55">
        <f>3557.5625+3793.39562-2530.949</f>
        <v>4820.0091199999988</v>
      </c>
      <c r="I81" s="55">
        <f>6203.54333+2530.945</f>
        <v>8734.4883300000001</v>
      </c>
      <c r="J81" s="55">
        <f>2230.06657+1761.61656-1765.141</f>
        <v>2226.5421299999998</v>
      </c>
      <c r="K81" s="55">
        <v>6179.8761699999995</v>
      </c>
      <c r="L81" s="55">
        <v>2168.6985300000001</v>
      </c>
      <c r="M81" s="55">
        <f>2975.14306</f>
        <v>2975.1430599999999</v>
      </c>
      <c r="N81" s="70">
        <f>4931.76452-1300.61656</f>
        <v>3631.1479599999998</v>
      </c>
      <c r="O81" s="70">
        <v>3477.0888100000002</v>
      </c>
      <c r="P81" s="70">
        <v>3197.0468799999999</v>
      </c>
      <c r="Q81" s="70">
        <f>8484.66204-461</f>
        <v>8023.6620399999993</v>
      </c>
      <c r="R81" s="47">
        <v>49261.7</v>
      </c>
    </row>
    <row r="82" spans="1:19" s="39" customFormat="1" ht="63.75" customHeight="1" x14ac:dyDescent="0.35">
      <c r="A82" s="129"/>
      <c r="B82" s="121"/>
      <c r="C82" s="123"/>
      <c r="D82" s="40" t="s">
        <v>2</v>
      </c>
      <c r="E82" s="57">
        <v>0</v>
      </c>
      <c r="F82" s="55"/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70">
        <v>0</v>
      </c>
      <c r="Q82" s="70">
        <v>0</v>
      </c>
      <c r="R82" s="47"/>
    </row>
    <row r="83" spans="1:19" s="39" customFormat="1" ht="24.75" customHeight="1" x14ac:dyDescent="0.35">
      <c r="A83" s="129"/>
      <c r="B83" s="121"/>
      <c r="C83" s="123"/>
      <c r="D83" s="40" t="s">
        <v>36</v>
      </c>
      <c r="E83" s="57">
        <v>0</v>
      </c>
      <c r="F83" s="55">
        <v>0</v>
      </c>
      <c r="G83" s="70">
        <v>0</v>
      </c>
      <c r="H83" s="70"/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  <c r="P83" s="70">
        <v>0</v>
      </c>
      <c r="Q83" s="70">
        <v>0</v>
      </c>
      <c r="R83" s="47"/>
    </row>
    <row r="84" spans="1:19" s="39" customFormat="1" ht="30" customHeight="1" x14ac:dyDescent="0.35">
      <c r="A84" s="129"/>
      <c r="B84" s="121"/>
      <c r="C84" s="123"/>
      <c r="D84" s="40" t="s">
        <v>4</v>
      </c>
      <c r="E84" s="57">
        <f>G84+H84+I84+J84+K84+L84+M84+N84+O84+P84+Q84</f>
        <v>0</v>
      </c>
      <c r="F84" s="55">
        <v>0</v>
      </c>
      <c r="G84" s="70">
        <v>0</v>
      </c>
      <c r="H84" s="70"/>
      <c r="I84" s="70">
        <v>0</v>
      </c>
      <c r="J84" s="70">
        <v>0</v>
      </c>
      <c r="K84" s="69">
        <v>0</v>
      </c>
      <c r="L84" s="70"/>
      <c r="M84" s="70"/>
      <c r="N84" s="70">
        <v>0</v>
      </c>
      <c r="O84" s="70">
        <v>0</v>
      </c>
      <c r="P84" s="70"/>
      <c r="Q84" s="70">
        <f>778.09401-778.09401</f>
        <v>0</v>
      </c>
      <c r="R84" s="47"/>
    </row>
    <row r="85" spans="1:19" s="21" customFormat="1" ht="30" customHeight="1" x14ac:dyDescent="0.35">
      <c r="A85" s="117" t="s">
        <v>3</v>
      </c>
      <c r="B85" s="117"/>
      <c r="C85" s="118"/>
      <c r="D85" s="67" t="s">
        <v>0</v>
      </c>
      <c r="E85" s="54">
        <f>SUM(F85:Q85)</f>
        <v>611435.92920999997</v>
      </c>
      <c r="F85" s="54">
        <f>SUM(F86:F91)</f>
        <v>27980.503805</v>
      </c>
      <c r="G85" s="54">
        <f t="shared" ref="G85:Q85" si="18">SUM(G86:G91)</f>
        <v>63887.698449999996</v>
      </c>
      <c r="H85" s="54">
        <f t="shared" si="18"/>
        <v>50634.693599999991</v>
      </c>
      <c r="I85" s="54">
        <f t="shared" si="18"/>
        <v>51740.532460000002</v>
      </c>
      <c r="J85" s="54">
        <f t="shared" si="18"/>
        <v>52557.171770000001</v>
      </c>
      <c r="K85" s="54">
        <f t="shared" si="18"/>
        <v>54755.048760000005</v>
      </c>
      <c r="L85" s="54">
        <f t="shared" si="18"/>
        <v>60319.077475000006</v>
      </c>
      <c r="M85" s="54">
        <f t="shared" si="18"/>
        <v>45258.558779999999</v>
      </c>
      <c r="N85" s="54">
        <f t="shared" si="18"/>
        <v>45991.247115000006</v>
      </c>
      <c r="O85" s="54">
        <f t="shared" si="18"/>
        <v>43989.482919999995</v>
      </c>
      <c r="P85" s="80">
        <f t="shared" si="18"/>
        <v>39503.124810000001</v>
      </c>
      <c r="Q85" s="80">
        <f t="shared" si="18"/>
        <v>74818.789264999985</v>
      </c>
      <c r="R85" s="53"/>
    </row>
    <row r="86" spans="1:19" s="21" customFormat="1" ht="36" customHeight="1" x14ac:dyDescent="0.35">
      <c r="A86" s="117"/>
      <c r="B86" s="117"/>
      <c r="C86" s="118"/>
      <c r="D86" s="67" t="s">
        <v>6</v>
      </c>
      <c r="E86" s="54">
        <f>SUM(F86:Q86)</f>
        <v>5128.2</v>
      </c>
      <c r="F86" s="89">
        <f t="shared" ref="F86:Q91" si="19">F23+F30+F37+F44+F51+F58+F65+F79</f>
        <v>32.815000000000005</v>
      </c>
      <c r="G86" s="89">
        <f t="shared" si="19"/>
        <v>424.54740000000004</v>
      </c>
      <c r="H86" s="89">
        <f t="shared" si="19"/>
        <v>832.44421</v>
      </c>
      <c r="I86" s="54">
        <f t="shared" si="19"/>
        <v>479.48499999999996</v>
      </c>
      <c r="J86" s="54">
        <f t="shared" si="19"/>
        <v>252.709</v>
      </c>
      <c r="K86" s="54">
        <f t="shared" si="19"/>
        <v>651.44100000000003</v>
      </c>
      <c r="L86" s="54">
        <f t="shared" si="19"/>
        <v>1197.6151500000001</v>
      </c>
      <c r="M86" s="54">
        <f t="shared" si="19"/>
        <v>629.71699999999998</v>
      </c>
      <c r="N86" s="54">
        <f t="shared" si="19"/>
        <v>252.76900000000001</v>
      </c>
      <c r="O86" s="54">
        <f t="shared" si="19"/>
        <v>32.075000000000003</v>
      </c>
      <c r="P86" s="80">
        <f t="shared" si="19"/>
        <v>307.46925000000005</v>
      </c>
      <c r="Q86" s="80">
        <f t="shared" si="19"/>
        <v>35.112990000000003</v>
      </c>
      <c r="R86" s="53"/>
    </row>
    <row r="87" spans="1:19" s="21" customFormat="1" ht="43.5" customHeight="1" x14ac:dyDescent="0.35">
      <c r="A87" s="117"/>
      <c r="B87" s="117"/>
      <c r="C87" s="118"/>
      <c r="D87" s="67" t="s">
        <v>7</v>
      </c>
      <c r="E87" s="54">
        <f t="shared" ref="E87:E91" si="20">SUM(F87:Q87)</f>
        <v>96362.29873000001</v>
      </c>
      <c r="F87" s="54">
        <f t="shared" si="19"/>
        <v>9.4307399999999859</v>
      </c>
      <c r="G87" s="54">
        <f t="shared" si="19"/>
        <v>11215.11663</v>
      </c>
      <c r="H87" s="54">
        <f t="shared" si="19"/>
        <v>5807.8148699999992</v>
      </c>
      <c r="I87" s="54">
        <f t="shared" si="19"/>
        <v>3173.1248700000001</v>
      </c>
      <c r="J87" s="54">
        <f t="shared" si="19"/>
        <v>8706.2103000000006</v>
      </c>
      <c r="K87" s="54">
        <f t="shared" si="19"/>
        <v>10149.495350000001</v>
      </c>
      <c r="L87" s="54">
        <f t="shared" si="19"/>
        <v>17888.319480000002</v>
      </c>
      <c r="M87" s="54">
        <f t="shared" si="19"/>
        <v>8482.7904799999997</v>
      </c>
      <c r="N87" s="54">
        <f t="shared" si="19"/>
        <v>7208.7054800000005</v>
      </c>
      <c r="O87" s="54">
        <f t="shared" si="19"/>
        <v>7806.0617700000003</v>
      </c>
      <c r="P87" s="80">
        <f t="shared" si="19"/>
        <v>7662.1159299999999</v>
      </c>
      <c r="Q87" s="80">
        <f t="shared" si="19"/>
        <v>8253.11283</v>
      </c>
      <c r="R87" s="53"/>
      <c r="S87" s="22"/>
    </row>
    <row r="88" spans="1:19" s="21" customFormat="1" ht="28.5" customHeight="1" x14ac:dyDescent="0.35">
      <c r="A88" s="117"/>
      <c r="B88" s="117"/>
      <c r="C88" s="118"/>
      <c r="D88" s="67" t="s">
        <v>1</v>
      </c>
      <c r="E88" s="54">
        <f t="shared" si="20"/>
        <v>505956.45647999999</v>
      </c>
      <c r="F88" s="54">
        <f t="shared" si="19"/>
        <v>27938.258065000002</v>
      </c>
      <c r="G88" s="54">
        <f t="shared" si="19"/>
        <v>52248.034419999996</v>
      </c>
      <c r="H88" s="54">
        <f t="shared" si="19"/>
        <v>43994.434519999995</v>
      </c>
      <c r="I88" s="54">
        <f t="shared" si="19"/>
        <v>48087.922590000002</v>
      </c>
      <c r="J88" s="54">
        <f t="shared" si="19"/>
        <v>43598.252469999999</v>
      </c>
      <c r="K88" s="54">
        <f t="shared" si="19"/>
        <v>43954.112410000002</v>
      </c>
      <c r="L88" s="54">
        <f t="shared" si="19"/>
        <v>41233.142845000002</v>
      </c>
      <c r="M88" s="54">
        <f t="shared" si="19"/>
        <v>36146.051299999999</v>
      </c>
      <c r="N88" s="54">
        <f t="shared" si="19"/>
        <v>38529.772635000001</v>
      </c>
      <c r="O88" s="54">
        <f t="shared" si="19"/>
        <v>36151.346149999998</v>
      </c>
      <c r="P88" s="80">
        <f t="shared" si="19"/>
        <v>31533.539629999999</v>
      </c>
      <c r="Q88" s="80">
        <f t="shared" si="19"/>
        <v>62541.589444999991</v>
      </c>
      <c r="R88" s="53"/>
    </row>
    <row r="89" spans="1:19" s="21" customFormat="1" ht="52.5" customHeight="1" x14ac:dyDescent="0.35">
      <c r="A89" s="117"/>
      <c r="B89" s="117"/>
      <c r="C89" s="118"/>
      <c r="D89" s="67" t="s">
        <v>2</v>
      </c>
      <c r="E89" s="54">
        <f t="shared" si="20"/>
        <v>0</v>
      </c>
      <c r="F89" s="54">
        <f t="shared" si="19"/>
        <v>0</v>
      </c>
      <c r="G89" s="54">
        <f t="shared" si="19"/>
        <v>0</v>
      </c>
      <c r="H89" s="54">
        <f t="shared" si="19"/>
        <v>0</v>
      </c>
      <c r="I89" s="54">
        <f t="shared" si="19"/>
        <v>0</v>
      </c>
      <c r="J89" s="54">
        <f t="shared" si="19"/>
        <v>0</v>
      </c>
      <c r="K89" s="54">
        <f t="shared" si="19"/>
        <v>0</v>
      </c>
      <c r="L89" s="54">
        <f t="shared" si="19"/>
        <v>0</v>
      </c>
      <c r="M89" s="54">
        <f t="shared" si="19"/>
        <v>0</v>
      </c>
      <c r="N89" s="54">
        <f t="shared" si="19"/>
        <v>0</v>
      </c>
      <c r="O89" s="54">
        <f t="shared" si="19"/>
        <v>0</v>
      </c>
      <c r="P89" s="80">
        <f t="shared" si="19"/>
        <v>0</v>
      </c>
      <c r="Q89" s="80">
        <f t="shared" si="19"/>
        <v>0</v>
      </c>
      <c r="R89" s="53"/>
    </row>
    <row r="90" spans="1:19" s="17" customFormat="1" ht="33.75" customHeight="1" x14ac:dyDescent="0.35">
      <c r="A90" s="117"/>
      <c r="B90" s="117"/>
      <c r="C90" s="118"/>
      <c r="D90" s="67" t="s">
        <v>36</v>
      </c>
      <c r="E90" s="54">
        <f t="shared" si="20"/>
        <v>0</v>
      </c>
      <c r="F90" s="54">
        <f t="shared" si="19"/>
        <v>0</v>
      </c>
      <c r="G90" s="54">
        <f t="shared" si="19"/>
        <v>0</v>
      </c>
      <c r="H90" s="54">
        <f t="shared" si="19"/>
        <v>0</v>
      </c>
      <c r="I90" s="54">
        <f t="shared" si="19"/>
        <v>0</v>
      </c>
      <c r="J90" s="54">
        <f t="shared" si="19"/>
        <v>0</v>
      </c>
      <c r="K90" s="54">
        <f t="shared" si="19"/>
        <v>0</v>
      </c>
      <c r="L90" s="54">
        <f t="shared" si="19"/>
        <v>0</v>
      </c>
      <c r="M90" s="54">
        <f t="shared" si="19"/>
        <v>0</v>
      </c>
      <c r="N90" s="54">
        <f t="shared" si="19"/>
        <v>0</v>
      </c>
      <c r="O90" s="54">
        <f t="shared" si="19"/>
        <v>0</v>
      </c>
      <c r="P90" s="54">
        <f t="shared" si="19"/>
        <v>0</v>
      </c>
      <c r="Q90" s="54">
        <f t="shared" si="19"/>
        <v>0</v>
      </c>
      <c r="R90" s="53"/>
    </row>
    <row r="91" spans="1:19" s="21" customFormat="1" ht="30" customHeight="1" x14ac:dyDescent="0.35">
      <c r="A91" s="117"/>
      <c r="B91" s="117"/>
      <c r="C91" s="118"/>
      <c r="D91" s="67" t="s">
        <v>4</v>
      </c>
      <c r="E91" s="54">
        <f t="shared" si="20"/>
        <v>3988.9740000000002</v>
      </c>
      <c r="F91" s="54">
        <f t="shared" si="19"/>
        <v>0</v>
      </c>
      <c r="G91" s="54">
        <f t="shared" si="19"/>
        <v>0</v>
      </c>
      <c r="H91" s="54">
        <f t="shared" si="19"/>
        <v>0</v>
      </c>
      <c r="I91" s="54">
        <f t="shared" si="19"/>
        <v>0</v>
      </c>
      <c r="J91" s="54">
        <f t="shared" si="19"/>
        <v>0</v>
      </c>
      <c r="K91" s="54">
        <f t="shared" si="19"/>
        <v>0</v>
      </c>
      <c r="L91" s="54">
        <f t="shared" si="19"/>
        <v>0</v>
      </c>
      <c r="M91" s="54">
        <f t="shared" si="19"/>
        <v>0</v>
      </c>
      <c r="N91" s="54">
        <f t="shared" si="19"/>
        <v>0</v>
      </c>
      <c r="O91" s="54">
        <f t="shared" si="19"/>
        <v>0</v>
      </c>
      <c r="P91" s="54">
        <f t="shared" si="19"/>
        <v>0</v>
      </c>
      <c r="Q91" s="54">
        <f t="shared" si="19"/>
        <v>3988.9740000000002</v>
      </c>
      <c r="R91" s="53"/>
    </row>
    <row r="92" spans="1:19" s="21" customFormat="1" ht="30.75" hidden="1" customHeight="1" x14ac:dyDescent="0.35">
      <c r="A92" s="58"/>
      <c r="B92" s="58"/>
      <c r="C92" s="59"/>
      <c r="D92" s="60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</row>
    <row r="93" spans="1:19" s="63" customFormat="1" ht="45" customHeight="1" x14ac:dyDescent="0.45">
      <c r="B93" s="68"/>
      <c r="C93" s="64"/>
      <c r="N93" s="66"/>
      <c r="R93" s="65"/>
    </row>
    <row r="94" spans="1:19" s="35" customFormat="1" ht="48.75" customHeight="1" x14ac:dyDescent="0.45">
      <c r="B94" s="36" t="s">
        <v>49</v>
      </c>
      <c r="C94" s="36"/>
      <c r="F94" s="35" t="s">
        <v>50</v>
      </c>
      <c r="R94" s="37"/>
    </row>
    <row r="95" spans="1:19" s="35" customFormat="1" ht="57.75" customHeight="1" x14ac:dyDescent="0.45">
      <c r="B95" s="36"/>
      <c r="C95" s="36"/>
      <c r="R95" s="37"/>
    </row>
    <row r="96" spans="1:19" s="35" customFormat="1" ht="30" customHeight="1" x14ac:dyDescent="0.45">
      <c r="B96" s="36" t="s">
        <v>66</v>
      </c>
      <c r="C96" s="36"/>
      <c r="R96" s="37"/>
    </row>
    <row r="97" spans="2:18" s="35" customFormat="1" ht="25.2" x14ac:dyDescent="0.45">
      <c r="B97" s="36" t="s">
        <v>67</v>
      </c>
      <c r="C97" s="36"/>
      <c r="R97" s="37"/>
    </row>
    <row r="100" spans="2:18" x14ac:dyDescent="0.35"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</row>
    <row r="102" spans="2:18" x14ac:dyDescent="0.35">
      <c r="F102" s="71"/>
      <c r="G102" s="71"/>
      <c r="H102" s="71"/>
    </row>
    <row r="103" spans="2:18" x14ac:dyDescent="0.35">
      <c r="E103" s="82"/>
    </row>
    <row r="104" spans="2:18" x14ac:dyDescent="0.35">
      <c r="F104" s="72"/>
    </row>
  </sheetData>
  <mergeCells count="52">
    <mergeCell ref="A78:A84"/>
    <mergeCell ref="B78:B84"/>
    <mergeCell ref="C78:C84"/>
    <mergeCell ref="A85:B91"/>
    <mergeCell ref="C85:C91"/>
    <mergeCell ref="A64:A70"/>
    <mergeCell ref="B64:B70"/>
    <mergeCell ref="C64:C70"/>
    <mergeCell ref="A71:A77"/>
    <mergeCell ref="B71:B77"/>
    <mergeCell ref="C71:C77"/>
    <mergeCell ref="A50:A56"/>
    <mergeCell ref="B50:B56"/>
    <mergeCell ref="C50:C56"/>
    <mergeCell ref="A57:A63"/>
    <mergeCell ref="B57:B63"/>
    <mergeCell ref="C57:C63"/>
    <mergeCell ref="A36:A42"/>
    <mergeCell ref="B36:B42"/>
    <mergeCell ref="C36:C42"/>
    <mergeCell ref="A43:A49"/>
    <mergeCell ref="B43:B49"/>
    <mergeCell ref="C43:C49"/>
    <mergeCell ref="F19:Q19"/>
    <mergeCell ref="A22:A28"/>
    <mergeCell ref="B22:B28"/>
    <mergeCell ref="C22:C28"/>
    <mergeCell ref="A29:A35"/>
    <mergeCell ref="B29:B35"/>
    <mergeCell ref="C29:C35"/>
    <mergeCell ref="A19:A20"/>
    <mergeCell ref="B19:B20"/>
    <mergeCell ref="C19:C20"/>
    <mergeCell ref="D19:D20"/>
    <mergeCell ref="E19:E20"/>
    <mergeCell ref="N13:Q13"/>
    <mergeCell ref="N14:Q14"/>
    <mergeCell ref="A16:Q16"/>
    <mergeCell ref="A17:Q17"/>
    <mergeCell ref="P18:Q18"/>
    <mergeCell ref="N12:Q12"/>
    <mergeCell ref="N1:Q1"/>
    <mergeCell ref="N2:Q2"/>
    <mergeCell ref="N3:Q3"/>
    <mergeCell ref="N4:Q4"/>
    <mergeCell ref="N5:Q5"/>
    <mergeCell ref="N6:Q6"/>
    <mergeCell ref="N7:Q7"/>
    <mergeCell ref="N8:Q8"/>
    <mergeCell ref="N9:Q9"/>
    <mergeCell ref="N10:Q10"/>
    <mergeCell ref="N11:Q11"/>
  </mergeCells>
  <pageMargins left="0.19685039370078741" right="0.27559055118110237" top="0.15748031496062992" bottom="0.15748031496062992" header="0.15748031496062992" footer="0.15748031496062992"/>
  <pageSetup paperSize="9" scale="35" fitToHeight="5" orientation="landscape" r:id="rId1"/>
  <rowBreaks count="1" manualBreakCount="1">
    <brk id="4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T104"/>
  <sheetViews>
    <sheetView view="pageBreakPreview" zoomScale="60" zoomScaleNormal="100" workbookViewId="0">
      <selection activeCell="E28" sqref="E28"/>
    </sheetView>
  </sheetViews>
  <sheetFormatPr defaultColWidth="9.109375" defaultRowHeight="17.399999999999999" x14ac:dyDescent="0.35"/>
  <cols>
    <col min="1" max="1" width="6.5546875" style="2" customWidth="1"/>
    <col min="2" max="2" width="59.6640625" style="33" customWidth="1"/>
    <col min="3" max="3" width="34.44140625" style="33" customWidth="1"/>
    <col min="4" max="4" width="27.6640625" style="2" customWidth="1"/>
    <col min="5" max="5" width="29.6640625" style="2" customWidth="1"/>
    <col min="6" max="6" width="23.5546875" style="2" customWidth="1"/>
    <col min="7" max="7" width="20" style="2" customWidth="1"/>
    <col min="8" max="8" width="20.33203125" style="2" customWidth="1"/>
    <col min="9" max="17" width="20.109375" style="2" customWidth="1"/>
    <col min="18" max="18" width="30.6640625" style="5" hidden="1" customWidth="1"/>
    <col min="19" max="19" width="14.33203125" style="2" bestFit="1" customWidth="1"/>
    <col min="20" max="20" width="20.44140625" style="2" customWidth="1"/>
    <col min="21" max="16384" width="9.109375" style="2"/>
  </cols>
  <sheetData>
    <row r="1" spans="1:19" s="11" customFormat="1" ht="21" customHeight="1" x14ac:dyDescent="0.4">
      <c r="A1" s="23"/>
      <c r="B1" s="24"/>
      <c r="C1" s="24"/>
      <c r="I1" s="23"/>
      <c r="J1" s="23"/>
      <c r="K1" s="23"/>
      <c r="L1" s="23"/>
      <c r="M1" s="25"/>
      <c r="N1" s="112" t="s">
        <v>31</v>
      </c>
      <c r="O1" s="112"/>
      <c r="P1" s="112"/>
      <c r="Q1" s="112"/>
      <c r="R1" s="26"/>
    </row>
    <row r="2" spans="1:19" s="11" customFormat="1" ht="44.25" customHeight="1" x14ac:dyDescent="0.4">
      <c r="A2" s="23"/>
      <c r="B2" s="27"/>
      <c r="C2" s="24"/>
      <c r="I2" s="23"/>
      <c r="J2" s="23"/>
      <c r="K2" s="23"/>
      <c r="L2" s="23"/>
      <c r="M2" s="25"/>
      <c r="N2" s="113" t="s">
        <v>53</v>
      </c>
      <c r="O2" s="113"/>
      <c r="P2" s="113"/>
      <c r="Q2" s="113"/>
      <c r="R2" s="29"/>
    </row>
    <row r="3" spans="1:19" s="11" customFormat="1" ht="62.25" customHeight="1" x14ac:dyDescent="0.4">
      <c r="A3" s="23"/>
      <c r="B3" s="27"/>
      <c r="C3" s="24"/>
      <c r="I3" s="23"/>
      <c r="J3" s="23"/>
      <c r="K3" s="23"/>
      <c r="L3" s="23"/>
      <c r="M3" s="25"/>
      <c r="N3" s="125" t="s">
        <v>54</v>
      </c>
      <c r="O3" s="125"/>
      <c r="P3" s="125"/>
      <c r="Q3" s="125"/>
      <c r="R3" s="29"/>
    </row>
    <row r="4" spans="1:19" s="11" customFormat="1" ht="23.25" customHeight="1" x14ac:dyDescent="0.35">
      <c r="A4" s="23"/>
      <c r="B4" s="24"/>
      <c r="C4" s="24"/>
      <c r="I4" s="23"/>
      <c r="J4" s="23"/>
      <c r="K4" s="23"/>
      <c r="L4" s="23"/>
      <c r="M4" s="25"/>
      <c r="N4" s="115" t="s">
        <v>32</v>
      </c>
      <c r="O4" s="115"/>
      <c r="P4" s="115"/>
      <c r="Q4" s="115"/>
      <c r="R4" s="29"/>
    </row>
    <row r="5" spans="1:19" s="11" customFormat="1" ht="33" customHeight="1" x14ac:dyDescent="0.35">
      <c r="A5" s="23"/>
      <c r="B5" s="24"/>
      <c r="C5" s="24"/>
      <c r="I5" s="23"/>
      <c r="J5" s="23"/>
      <c r="K5" s="23"/>
      <c r="L5" s="23"/>
      <c r="M5" s="25"/>
      <c r="N5" s="116" t="s">
        <v>46</v>
      </c>
      <c r="O5" s="116"/>
      <c r="P5" s="116"/>
      <c r="Q5" s="116"/>
      <c r="R5" s="30"/>
      <c r="S5" s="30"/>
    </row>
    <row r="6" spans="1:19" s="11" customFormat="1" ht="51" customHeight="1" x14ac:dyDescent="0.4">
      <c r="A6" s="23"/>
      <c r="B6" s="24"/>
      <c r="C6" s="24"/>
      <c r="I6" s="23"/>
      <c r="J6" s="23"/>
      <c r="K6" s="23"/>
      <c r="L6" s="23"/>
      <c r="M6" s="31"/>
      <c r="N6" s="114" t="s">
        <v>55</v>
      </c>
      <c r="O6" s="114"/>
      <c r="P6" s="114"/>
      <c r="Q6" s="114"/>
      <c r="R6" s="32"/>
    </row>
    <row r="7" spans="1:19" s="11" customFormat="1" ht="21.75" customHeight="1" x14ac:dyDescent="0.35">
      <c r="A7" s="23"/>
      <c r="B7" s="24"/>
      <c r="C7" s="24"/>
      <c r="I7" s="23"/>
      <c r="J7" s="23"/>
      <c r="K7" s="23"/>
      <c r="L7" s="23"/>
      <c r="M7" s="31"/>
      <c r="N7" s="115" t="s">
        <v>33</v>
      </c>
      <c r="O7" s="115"/>
      <c r="P7" s="115"/>
      <c r="Q7" s="115"/>
      <c r="R7" s="29"/>
    </row>
    <row r="8" spans="1:19" s="11" customFormat="1" ht="40.5" customHeight="1" x14ac:dyDescent="0.4">
      <c r="A8" s="23"/>
      <c r="B8" s="24"/>
      <c r="C8" s="24"/>
      <c r="I8" s="23"/>
      <c r="J8" s="23"/>
      <c r="K8" s="23"/>
      <c r="L8" s="23"/>
      <c r="M8" s="31"/>
      <c r="N8" s="113" t="s">
        <v>47</v>
      </c>
      <c r="O8" s="113"/>
      <c r="P8" s="113"/>
      <c r="Q8" s="113"/>
      <c r="R8" s="32"/>
    </row>
    <row r="9" spans="1:19" s="11" customFormat="1" ht="46.5" customHeight="1" x14ac:dyDescent="0.4">
      <c r="A9" s="23"/>
      <c r="B9" s="24"/>
      <c r="C9" s="24"/>
      <c r="I9" s="23"/>
      <c r="J9" s="23"/>
      <c r="K9" s="23"/>
      <c r="L9" s="23"/>
      <c r="M9" s="31"/>
      <c r="N9" s="114" t="s">
        <v>56</v>
      </c>
      <c r="O9" s="114"/>
      <c r="P9" s="114"/>
      <c r="Q9" s="114"/>
      <c r="R9" s="28"/>
      <c r="S9" s="28"/>
    </row>
    <row r="10" spans="1:19" s="11" customFormat="1" ht="24" customHeight="1" x14ac:dyDescent="0.35">
      <c r="A10" s="23"/>
      <c r="B10" s="24"/>
      <c r="C10" s="24"/>
      <c r="I10" s="23"/>
      <c r="J10" s="23"/>
      <c r="K10" s="23"/>
      <c r="L10" s="23"/>
      <c r="M10" s="31"/>
      <c r="N10" s="115" t="s">
        <v>33</v>
      </c>
      <c r="O10" s="115"/>
      <c r="P10" s="115"/>
      <c r="Q10" s="115"/>
      <c r="R10" s="29"/>
    </row>
    <row r="11" spans="1:19" s="11" customFormat="1" ht="30.75" customHeight="1" x14ac:dyDescent="0.4">
      <c r="A11" s="23"/>
      <c r="B11" s="24"/>
      <c r="C11" s="24"/>
      <c r="I11" s="23"/>
      <c r="J11" s="23"/>
      <c r="K11" s="23"/>
      <c r="L11" s="23"/>
      <c r="M11" s="31"/>
      <c r="N11" s="113" t="s">
        <v>48</v>
      </c>
      <c r="O11" s="113"/>
      <c r="P11" s="113"/>
      <c r="Q11" s="113"/>
      <c r="R11" s="32"/>
    </row>
    <row r="12" spans="1:19" s="11" customFormat="1" ht="51" customHeight="1" x14ac:dyDescent="0.6">
      <c r="A12" s="23"/>
      <c r="B12" s="24"/>
      <c r="C12" s="24"/>
      <c r="E12" s="41"/>
      <c r="F12" s="17"/>
      <c r="G12" s="17"/>
      <c r="I12" s="23"/>
      <c r="J12" s="23"/>
      <c r="K12" s="23"/>
      <c r="L12" s="23"/>
      <c r="M12" s="31"/>
      <c r="N12" s="125" t="s">
        <v>64</v>
      </c>
      <c r="O12" s="125"/>
      <c r="P12" s="125"/>
      <c r="Q12" s="125"/>
      <c r="R12" s="32"/>
    </row>
    <row r="13" spans="1:19" s="11" customFormat="1" ht="24" customHeight="1" x14ac:dyDescent="0.35">
      <c r="A13" s="23"/>
      <c r="B13" s="24"/>
      <c r="C13" s="24"/>
      <c r="I13" s="23"/>
      <c r="J13" s="23"/>
      <c r="K13" s="23"/>
      <c r="L13" s="23"/>
      <c r="M13" s="31"/>
      <c r="N13" s="115" t="s">
        <v>33</v>
      </c>
      <c r="O13" s="115"/>
      <c r="P13" s="115"/>
      <c r="Q13" s="115"/>
      <c r="R13" s="29"/>
    </row>
    <row r="14" spans="1:19" ht="19.5" customHeight="1" x14ac:dyDescent="0.35">
      <c r="A14" s="1"/>
      <c r="I14" s="1"/>
      <c r="J14" s="1"/>
      <c r="K14" s="1"/>
      <c r="L14" s="1"/>
      <c r="M14" s="8"/>
      <c r="N14" s="106" t="s">
        <v>68</v>
      </c>
      <c r="O14" s="106"/>
      <c r="P14" s="106"/>
      <c r="Q14" s="106"/>
      <c r="R14" s="9"/>
    </row>
    <row r="15" spans="1:19" ht="14.25" customHeight="1" x14ac:dyDescent="0.4">
      <c r="A15" s="1"/>
      <c r="B15" s="12"/>
      <c r="I15" s="1"/>
      <c r="J15" s="1"/>
      <c r="K15" s="1"/>
      <c r="L15" s="1"/>
      <c r="M15" s="6"/>
      <c r="N15" s="7"/>
      <c r="O15" s="7"/>
      <c r="P15" s="7"/>
      <c r="Q15" s="7"/>
    </row>
    <row r="16" spans="1:19" ht="31.5" customHeight="1" x14ac:dyDescent="0.35">
      <c r="A16" s="107" t="s">
        <v>34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20" ht="54" customHeight="1" x14ac:dyDescent="0.35">
      <c r="A17" s="108" t="s">
        <v>57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</row>
    <row r="18" spans="1:20" ht="27.75" customHeight="1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110" t="s">
        <v>35</v>
      </c>
      <c r="Q18" s="110"/>
    </row>
    <row r="19" spans="1:20" s="11" customFormat="1" ht="28.5" customHeight="1" x14ac:dyDescent="0.35">
      <c r="A19" s="124" t="s">
        <v>39</v>
      </c>
      <c r="B19" s="124" t="s">
        <v>38</v>
      </c>
      <c r="C19" s="124" t="s">
        <v>40</v>
      </c>
      <c r="D19" s="124" t="s">
        <v>5</v>
      </c>
      <c r="E19" s="119" t="s">
        <v>18</v>
      </c>
      <c r="F19" s="119" t="s">
        <v>37</v>
      </c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0"/>
    </row>
    <row r="20" spans="1:20" s="11" customFormat="1" ht="56.25" customHeight="1" x14ac:dyDescent="0.35">
      <c r="A20" s="124"/>
      <c r="B20" s="124"/>
      <c r="C20" s="124"/>
      <c r="D20" s="124"/>
      <c r="E20" s="119"/>
      <c r="F20" s="42" t="s">
        <v>19</v>
      </c>
      <c r="G20" s="42" t="s">
        <v>20</v>
      </c>
      <c r="H20" s="42" t="s">
        <v>21</v>
      </c>
      <c r="I20" s="42" t="s">
        <v>22</v>
      </c>
      <c r="J20" s="42" t="s">
        <v>23</v>
      </c>
      <c r="K20" s="91" t="s">
        <v>24</v>
      </c>
      <c r="L20" s="91" t="s">
        <v>25</v>
      </c>
      <c r="M20" s="91" t="s">
        <v>26</v>
      </c>
      <c r="N20" s="91" t="s">
        <v>27</v>
      </c>
      <c r="O20" s="91" t="s">
        <v>28</v>
      </c>
      <c r="P20" s="91" t="s">
        <v>29</v>
      </c>
      <c r="Q20" s="91" t="s">
        <v>30</v>
      </c>
      <c r="R20" s="43" t="s">
        <v>41</v>
      </c>
    </row>
    <row r="21" spans="1:20" s="15" customFormat="1" ht="18" x14ac:dyDescent="0.35">
      <c r="A21" s="13">
        <v>1</v>
      </c>
      <c r="B21" s="13">
        <v>2</v>
      </c>
      <c r="C21" s="13">
        <v>3</v>
      </c>
      <c r="D21" s="13">
        <v>4</v>
      </c>
      <c r="E21" s="13">
        <v>5</v>
      </c>
      <c r="F21" s="13">
        <v>6</v>
      </c>
      <c r="G21" s="13">
        <v>7</v>
      </c>
      <c r="H21" s="13">
        <v>8</v>
      </c>
      <c r="I21" s="13">
        <v>9</v>
      </c>
      <c r="J21" s="13">
        <v>10</v>
      </c>
      <c r="K21" s="13">
        <v>11</v>
      </c>
      <c r="L21" s="13">
        <v>12</v>
      </c>
      <c r="M21" s="13">
        <v>13</v>
      </c>
      <c r="N21" s="13">
        <v>14</v>
      </c>
      <c r="O21" s="13">
        <v>15</v>
      </c>
      <c r="P21" s="13">
        <v>16</v>
      </c>
      <c r="Q21" s="13">
        <v>17</v>
      </c>
      <c r="R21" s="14"/>
    </row>
    <row r="22" spans="1:20" s="17" customFormat="1" ht="24" customHeight="1" x14ac:dyDescent="0.35">
      <c r="A22" s="120">
        <v>1</v>
      </c>
      <c r="B22" s="121" t="s">
        <v>11</v>
      </c>
      <c r="C22" s="122" t="s">
        <v>61</v>
      </c>
      <c r="D22" s="16" t="s">
        <v>0</v>
      </c>
      <c r="E22" s="44">
        <f>SUM(F22:Q22)</f>
        <v>442005.97091000003</v>
      </c>
      <c r="F22" s="44">
        <f>SUM(F23:F28)</f>
        <v>13982.034935</v>
      </c>
      <c r="G22" s="44">
        <f t="shared" ref="G22:Q22" si="0">SUM(G23:G28)</f>
        <v>50127.903429999998</v>
      </c>
      <c r="H22" s="44">
        <f t="shared" si="0"/>
        <v>38495.8626</v>
      </c>
      <c r="I22" s="44">
        <f t="shared" si="0"/>
        <v>38761.871460000002</v>
      </c>
      <c r="J22" s="44">
        <f t="shared" si="0"/>
        <v>40816.147539999998</v>
      </c>
      <c r="K22" s="44">
        <f t="shared" si="0"/>
        <v>37287.088089999997</v>
      </c>
      <c r="L22" s="44">
        <f t="shared" si="0"/>
        <v>38519.618515000002</v>
      </c>
      <c r="M22" s="44">
        <f t="shared" si="0"/>
        <v>32506.648150000001</v>
      </c>
      <c r="N22" s="44">
        <f t="shared" si="0"/>
        <v>33491.005644999997</v>
      </c>
      <c r="O22" s="44">
        <f t="shared" si="0"/>
        <v>32142.331539999999</v>
      </c>
      <c r="P22" s="44">
        <f t="shared" si="0"/>
        <v>27812.56695</v>
      </c>
      <c r="Q22" s="44">
        <f t="shared" si="0"/>
        <v>58062.892055000004</v>
      </c>
      <c r="R22" s="45">
        <f>R25+R28</f>
        <v>385360.86521999998</v>
      </c>
    </row>
    <row r="23" spans="1:20" s="17" customFormat="1" ht="26.25" customHeight="1" x14ac:dyDescent="0.35">
      <c r="A23" s="120"/>
      <c r="B23" s="121"/>
      <c r="C23" s="122"/>
      <c r="D23" s="18" t="s">
        <v>6</v>
      </c>
      <c r="E23" s="54">
        <f t="shared" ref="E23:E27" si="1">SUM(F23:Q23)</f>
        <v>0</v>
      </c>
      <c r="F23" s="55">
        <v>0</v>
      </c>
      <c r="G23" s="55">
        <v>0</v>
      </c>
      <c r="H23" s="55">
        <v>0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5">
        <v>0</v>
      </c>
      <c r="P23" s="55">
        <v>0</v>
      </c>
      <c r="Q23" s="55">
        <v>0</v>
      </c>
      <c r="R23" s="46"/>
    </row>
    <row r="24" spans="1:20" s="17" customFormat="1" ht="33.75" customHeight="1" x14ac:dyDescent="0.35">
      <c r="A24" s="120"/>
      <c r="B24" s="121"/>
      <c r="C24" s="122"/>
      <c r="D24" s="18" t="s">
        <v>7</v>
      </c>
      <c r="E24" s="54">
        <f t="shared" si="1"/>
        <v>0</v>
      </c>
      <c r="F24" s="55">
        <v>0</v>
      </c>
      <c r="G24" s="55">
        <v>0</v>
      </c>
      <c r="H24" s="55">
        <v>0</v>
      </c>
      <c r="I24" s="55">
        <v>0</v>
      </c>
      <c r="J24" s="55">
        <v>0</v>
      </c>
      <c r="K24" s="70">
        <v>0</v>
      </c>
      <c r="L24" s="70">
        <v>0</v>
      </c>
      <c r="M24" s="70">
        <v>0</v>
      </c>
      <c r="N24" s="70">
        <v>0</v>
      </c>
      <c r="O24" s="70">
        <v>0</v>
      </c>
      <c r="P24" s="70">
        <v>0</v>
      </c>
      <c r="Q24" s="70">
        <v>0</v>
      </c>
      <c r="R24" s="74"/>
      <c r="S24" s="75"/>
    </row>
    <row r="25" spans="1:20" s="17" customFormat="1" ht="22.5" customHeight="1" x14ac:dyDescent="0.35">
      <c r="A25" s="120"/>
      <c r="B25" s="121"/>
      <c r="C25" s="122"/>
      <c r="D25" s="18" t="s">
        <v>1</v>
      </c>
      <c r="E25" s="57">
        <f>SUM(F25:Q25)</f>
        <v>438016.99691000005</v>
      </c>
      <c r="F25" s="56">
        <v>13982.034935</v>
      </c>
      <c r="G25" s="56">
        <v>50127.903429999998</v>
      </c>
      <c r="H25" s="56">
        <v>38495.8626</v>
      </c>
      <c r="I25" s="56">
        <v>38761.871460000002</v>
      </c>
      <c r="J25" s="56">
        <v>40816.147539999998</v>
      </c>
      <c r="K25" s="69">
        <v>37287.088089999997</v>
      </c>
      <c r="L25" s="56">
        <f>42788.024635-8-76.08844-3377.31768-807</f>
        <v>38519.618515000002</v>
      </c>
      <c r="M25" s="69">
        <f>32506.64815</f>
        <v>32506.648150000001</v>
      </c>
      <c r="N25" s="69">
        <v>33491.005644999997</v>
      </c>
      <c r="O25" s="69">
        <v>32142.331539999999</v>
      </c>
      <c r="P25" s="69">
        <v>27812.56695</v>
      </c>
      <c r="Q25" s="56">
        <f>62041.777055-9553+1765.141-180</f>
        <v>54073.918055000002</v>
      </c>
      <c r="R25" s="76">
        <v>385360.86521999998</v>
      </c>
      <c r="S25" s="77">
        <v>442465.40302999999</v>
      </c>
      <c r="T25" s="86">
        <f>E25-S25</f>
        <v>-4448.4061199999414</v>
      </c>
    </row>
    <row r="26" spans="1:20" s="17" customFormat="1" ht="64.5" customHeight="1" x14ac:dyDescent="0.35">
      <c r="A26" s="120"/>
      <c r="B26" s="121"/>
      <c r="C26" s="122"/>
      <c r="D26" s="18" t="s">
        <v>2</v>
      </c>
      <c r="E26" s="54">
        <f t="shared" si="1"/>
        <v>0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70">
        <v>0</v>
      </c>
      <c r="L26" s="70">
        <v>0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  <c r="R26" s="76"/>
      <c r="S26" s="75"/>
    </row>
    <row r="27" spans="1:20" s="17" customFormat="1" ht="26.25" customHeight="1" x14ac:dyDescent="0.35">
      <c r="A27" s="120"/>
      <c r="B27" s="121"/>
      <c r="C27" s="122"/>
      <c r="D27" s="18" t="s">
        <v>36</v>
      </c>
      <c r="E27" s="54">
        <f t="shared" si="1"/>
        <v>0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0</v>
      </c>
      <c r="R27" s="76"/>
      <c r="S27" s="75"/>
    </row>
    <row r="28" spans="1:20" s="17" customFormat="1" ht="29.25" customHeight="1" x14ac:dyDescent="0.35">
      <c r="A28" s="120"/>
      <c r="B28" s="121"/>
      <c r="C28" s="122"/>
      <c r="D28" s="18" t="s">
        <v>4</v>
      </c>
      <c r="E28" s="57">
        <f>SUM(F28:Q28)</f>
        <v>3988.9740000000002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69">
        <v>0</v>
      </c>
      <c r="L28" s="69">
        <v>0</v>
      </c>
      <c r="M28" s="78">
        <v>0</v>
      </c>
      <c r="N28" s="69"/>
      <c r="O28" s="69"/>
      <c r="P28" s="69"/>
      <c r="Q28" s="70">
        <f>7953.478-455-1515.803-1993.701</f>
        <v>3988.9740000000002</v>
      </c>
      <c r="R28" s="76">
        <v>0</v>
      </c>
      <c r="S28" s="75"/>
    </row>
    <row r="29" spans="1:20" s="17" customFormat="1" ht="27.75" customHeight="1" x14ac:dyDescent="0.35">
      <c r="A29" s="120" t="s">
        <v>8</v>
      </c>
      <c r="B29" s="121" t="s">
        <v>12</v>
      </c>
      <c r="C29" s="123" t="s">
        <v>62</v>
      </c>
      <c r="D29" s="16" t="s">
        <v>0</v>
      </c>
      <c r="E29" s="44">
        <f>SUM(F29:Q29)</f>
        <v>533.33010000000002</v>
      </c>
      <c r="F29" s="44">
        <f>SUM(F30:F35)</f>
        <v>0</v>
      </c>
      <c r="G29" s="44">
        <f t="shared" ref="G29:Q29" si="2">SUM(G30:G35)</f>
        <v>83.333349999999996</v>
      </c>
      <c r="H29" s="44">
        <f t="shared" si="2"/>
        <v>0</v>
      </c>
      <c r="I29" s="44">
        <f t="shared" si="2"/>
        <v>0</v>
      </c>
      <c r="J29" s="44">
        <f t="shared" si="2"/>
        <v>0</v>
      </c>
      <c r="K29" s="44">
        <f t="shared" si="2"/>
        <v>0</v>
      </c>
      <c r="L29" s="44">
        <f t="shared" si="2"/>
        <v>32.9</v>
      </c>
      <c r="M29" s="44">
        <f t="shared" si="2"/>
        <v>83.33429000000001</v>
      </c>
      <c r="N29" s="44">
        <f t="shared" si="2"/>
        <v>217.09571</v>
      </c>
      <c r="O29" s="44">
        <f t="shared" si="2"/>
        <v>0</v>
      </c>
      <c r="P29" s="44">
        <f t="shared" si="2"/>
        <v>0</v>
      </c>
      <c r="Q29" s="44">
        <f t="shared" si="2"/>
        <v>116.66674999999999</v>
      </c>
      <c r="R29" s="45">
        <f>R32+R35</f>
        <v>341.06207000000001</v>
      </c>
      <c r="S29" s="48"/>
    </row>
    <row r="30" spans="1:20" s="17" customFormat="1" ht="25.5" customHeight="1" x14ac:dyDescent="0.35">
      <c r="A30" s="120"/>
      <c r="B30" s="121"/>
      <c r="C30" s="123"/>
      <c r="D30" s="18" t="s">
        <v>6</v>
      </c>
      <c r="E30" s="54">
        <f t="shared" ref="E30:E35" si="3">SUM(F30:Q30)</f>
        <v>0</v>
      </c>
      <c r="F30" s="55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0</v>
      </c>
      <c r="Q30" s="55">
        <v>0</v>
      </c>
      <c r="R30" s="46"/>
    </row>
    <row r="31" spans="1:20" s="17" customFormat="1" ht="36" customHeight="1" x14ac:dyDescent="0.35">
      <c r="A31" s="120"/>
      <c r="B31" s="121"/>
      <c r="C31" s="123"/>
      <c r="D31" s="18" t="s">
        <v>7</v>
      </c>
      <c r="E31" s="54">
        <f t="shared" si="3"/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46"/>
    </row>
    <row r="32" spans="1:20" s="17" customFormat="1" ht="28.5" customHeight="1" x14ac:dyDescent="0.35">
      <c r="A32" s="120"/>
      <c r="B32" s="121"/>
      <c r="C32" s="123"/>
      <c r="D32" s="18" t="s">
        <v>1</v>
      </c>
      <c r="E32" s="54">
        <f t="shared" si="3"/>
        <v>533.33010000000002</v>
      </c>
      <c r="F32" s="56">
        <v>0</v>
      </c>
      <c r="G32" s="56">
        <v>83.333349999999996</v>
      </c>
      <c r="H32" s="56">
        <v>0</v>
      </c>
      <c r="I32" s="56">
        <v>0</v>
      </c>
      <c r="J32" s="56">
        <v>0</v>
      </c>
      <c r="K32" s="56">
        <v>0</v>
      </c>
      <c r="L32" s="56">
        <v>32.9</v>
      </c>
      <c r="M32" s="56">
        <f>116.23429-32.9</f>
        <v>83.33429000000001</v>
      </c>
      <c r="N32" s="56">
        <f>333.33-116.23429</f>
        <v>217.09571</v>
      </c>
      <c r="O32" s="56">
        <v>0</v>
      </c>
      <c r="P32" s="56">
        <v>0</v>
      </c>
      <c r="Q32" s="56">
        <v>116.66674999999999</v>
      </c>
      <c r="R32" s="47">
        <v>341.06207000000001</v>
      </c>
    </row>
    <row r="33" spans="1:19" s="17" customFormat="1" ht="58.5" customHeight="1" x14ac:dyDescent="0.35">
      <c r="A33" s="120"/>
      <c r="B33" s="121"/>
      <c r="C33" s="123"/>
      <c r="D33" s="18" t="s">
        <v>2</v>
      </c>
      <c r="E33" s="54">
        <f t="shared" si="3"/>
        <v>0</v>
      </c>
      <c r="F33" s="55">
        <v>0</v>
      </c>
      <c r="G33" s="55">
        <v>0</v>
      </c>
      <c r="H33" s="55">
        <v>0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5">
        <v>0</v>
      </c>
      <c r="P33" s="55">
        <v>0</v>
      </c>
      <c r="Q33" s="55">
        <v>0</v>
      </c>
      <c r="R33" s="47"/>
    </row>
    <row r="34" spans="1:19" s="17" customFormat="1" ht="25.5" customHeight="1" x14ac:dyDescent="0.35">
      <c r="A34" s="120"/>
      <c r="B34" s="121"/>
      <c r="C34" s="123"/>
      <c r="D34" s="18" t="s">
        <v>36</v>
      </c>
      <c r="E34" s="54">
        <f t="shared" si="3"/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55">
        <v>0</v>
      </c>
      <c r="Q34" s="55">
        <v>0</v>
      </c>
      <c r="R34" s="47"/>
    </row>
    <row r="35" spans="1:19" s="17" customFormat="1" ht="29.25" customHeight="1" x14ac:dyDescent="0.35">
      <c r="A35" s="120"/>
      <c r="B35" s="121"/>
      <c r="C35" s="123"/>
      <c r="D35" s="18" t="s">
        <v>4</v>
      </c>
      <c r="E35" s="54">
        <f t="shared" si="3"/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55">
        <v>0</v>
      </c>
      <c r="Q35" s="55">
        <v>0</v>
      </c>
      <c r="R35" s="47"/>
    </row>
    <row r="36" spans="1:19" s="17" customFormat="1" ht="28.5" customHeight="1" x14ac:dyDescent="0.35">
      <c r="A36" s="120" t="s">
        <v>9</v>
      </c>
      <c r="B36" s="121" t="s">
        <v>13</v>
      </c>
      <c r="C36" s="126" t="s">
        <v>52</v>
      </c>
      <c r="D36" s="16" t="s">
        <v>0</v>
      </c>
      <c r="E36" s="44">
        <f>SUM(F36:Q36)</f>
        <v>6182.1</v>
      </c>
      <c r="F36" s="44">
        <f>SUM(F37:F42)</f>
        <v>42.245739999999991</v>
      </c>
      <c r="G36" s="44">
        <f t="shared" ref="G36:Q36" si="4">SUM(G37:G42)</f>
        <v>533.81740000000002</v>
      </c>
      <c r="H36" s="44">
        <f t="shared" si="4"/>
        <v>952.77320999999995</v>
      </c>
      <c r="I36" s="44">
        <f t="shared" si="4"/>
        <v>529.66009999999994</v>
      </c>
      <c r="J36" s="44">
        <f t="shared" si="4"/>
        <v>277.30900000000003</v>
      </c>
      <c r="K36" s="44">
        <f t="shared" si="4"/>
        <v>687.46</v>
      </c>
      <c r="L36" s="44">
        <f t="shared" si="4"/>
        <v>1283.94415</v>
      </c>
      <c r="M36" s="44">
        <f t="shared" si="4"/>
        <v>629.71699999999998</v>
      </c>
      <c r="N36" s="44">
        <f t="shared" si="4"/>
        <v>264.18900000000002</v>
      </c>
      <c r="O36" s="44">
        <f t="shared" si="4"/>
        <v>254.03699999999998</v>
      </c>
      <c r="P36" s="44">
        <f t="shared" si="4"/>
        <v>642.18541000000005</v>
      </c>
      <c r="Q36" s="44">
        <f t="shared" si="4"/>
        <v>84.761989999999997</v>
      </c>
      <c r="R36" s="45">
        <f>R37+R38+R41</f>
        <v>7616.5969999999998</v>
      </c>
    </row>
    <row r="37" spans="1:19" s="17" customFormat="1" ht="32.25" customHeight="1" x14ac:dyDescent="0.35">
      <c r="A37" s="120"/>
      <c r="B37" s="121"/>
      <c r="C37" s="126"/>
      <c r="D37" s="18" t="s">
        <v>6</v>
      </c>
      <c r="E37" s="54">
        <f t="shared" ref="E37:E42" si="5">SUM(F37:Q37)</f>
        <v>5128.2</v>
      </c>
      <c r="F37" s="79">
        <f>0.075+32.74</f>
        <v>32.815000000000005</v>
      </c>
      <c r="G37" s="70">
        <f>532.075-107.5276</f>
        <v>424.54740000000004</v>
      </c>
      <c r="H37" s="70">
        <f>346.605+136.17+349.66921</f>
        <v>832.44421</v>
      </c>
      <c r="I37" s="70">
        <f>322.945+21.84+134.7</f>
        <v>479.48499999999996</v>
      </c>
      <c r="J37" s="69">
        <f>213.709+39</f>
        <v>252.709</v>
      </c>
      <c r="K37" s="69">
        <f>503.241+148.2</f>
        <v>651.44100000000003</v>
      </c>
      <c r="L37" s="55">
        <f>960.901+211.953-45.23885+70</f>
        <v>1197.6151500000001</v>
      </c>
      <c r="M37" s="55">
        <f>680.15+19.567-70</f>
        <v>629.71699999999998</v>
      </c>
      <c r="N37" s="69">
        <f>73.675+11.695+167.399</f>
        <v>252.76900000000001</v>
      </c>
      <c r="O37" s="70">
        <f>0.075+32</f>
        <v>32.075000000000003</v>
      </c>
      <c r="P37" s="70">
        <f>550.375+11.7-254.60575</f>
        <v>307.46925000000005</v>
      </c>
      <c r="Q37" s="69">
        <v>35.112990000000003</v>
      </c>
      <c r="R37" s="47">
        <v>4852.6000000000004</v>
      </c>
    </row>
    <row r="38" spans="1:19" s="17" customFormat="1" ht="36" customHeight="1" x14ac:dyDescent="0.35">
      <c r="A38" s="120"/>
      <c r="B38" s="121"/>
      <c r="C38" s="126"/>
      <c r="D38" s="18" t="s">
        <v>7</v>
      </c>
      <c r="E38" s="54">
        <f t="shared" si="5"/>
        <v>1053.9000000000001</v>
      </c>
      <c r="F38" s="79">
        <f>159.6+70.285-220.45426</f>
        <v>9.4307399999999859</v>
      </c>
      <c r="G38" s="79">
        <f>65.37+48.4-4.5</f>
        <v>109.27000000000001</v>
      </c>
      <c r="H38" s="79">
        <v>120.32899999999999</v>
      </c>
      <c r="I38" s="79">
        <v>50.1751</v>
      </c>
      <c r="J38" s="79">
        <v>24.6</v>
      </c>
      <c r="K38" s="69">
        <f>24.6+11.419</f>
        <v>36.019000000000005</v>
      </c>
      <c r="L38" s="55">
        <f>20.91+5.419+60</f>
        <v>86.329000000000008</v>
      </c>
      <c r="M38" s="70">
        <v>0</v>
      </c>
      <c r="N38" s="70">
        <v>11.42</v>
      </c>
      <c r="O38" s="55">
        <f>281.962-60</f>
        <v>221.96199999999999</v>
      </c>
      <c r="P38" s="70">
        <v>334.71616</v>
      </c>
      <c r="Q38" s="70">
        <v>49.649000000000001</v>
      </c>
      <c r="R38" s="47">
        <f>469.8+1147.097</f>
        <v>1616.8969999999999</v>
      </c>
      <c r="S38" s="34"/>
    </row>
    <row r="39" spans="1:19" s="17" customFormat="1" ht="22.5" customHeight="1" x14ac:dyDescent="0.35">
      <c r="A39" s="120"/>
      <c r="B39" s="121"/>
      <c r="C39" s="126"/>
      <c r="D39" s="18" t="s">
        <v>1</v>
      </c>
      <c r="E39" s="54">
        <f t="shared" si="5"/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  <c r="P39" s="70">
        <v>0</v>
      </c>
      <c r="Q39" s="70"/>
      <c r="R39" s="47"/>
    </row>
    <row r="40" spans="1:19" s="17" customFormat="1" ht="54" x14ac:dyDescent="0.35">
      <c r="A40" s="120"/>
      <c r="B40" s="121"/>
      <c r="C40" s="126"/>
      <c r="D40" s="18" t="s">
        <v>2</v>
      </c>
      <c r="E40" s="54">
        <f t="shared" si="5"/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47"/>
    </row>
    <row r="41" spans="1:19" s="17" customFormat="1" ht="28.5" customHeight="1" x14ac:dyDescent="0.35">
      <c r="A41" s="120"/>
      <c r="B41" s="121"/>
      <c r="C41" s="126"/>
      <c r="D41" s="18" t="s">
        <v>36</v>
      </c>
      <c r="E41" s="54">
        <f t="shared" si="5"/>
        <v>0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47">
        <v>1147.0999999999999</v>
      </c>
    </row>
    <row r="42" spans="1:19" s="17" customFormat="1" ht="27.75" customHeight="1" x14ac:dyDescent="0.35">
      <c r="A42" s="120"/>
      <c r="B42" s="121"/>
      <c r="C42" s="126"/>
      <c r="D42" s="18" t="s">
        <v>4</v>
      </c>
      <c r="E42" s="54">
        <f t="shared" si="5"/>
        <v>0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46"/>
    </row>
    <row r="43" spans="1:19" s="17" customFormat="1" ht="27.75" customHeight="1" x14ac:dyDescent="0.35">
      <c r="A43" s="120" t="s">
        <v>10</v>
      </c>
      <c r="B43" s="121" t="s">
        <v>14</v>
      </c>
      <c r="C43" s="127" t="s">
        <v>65</v>
      </c>
      <c r="D43" s="16" t="s">
        <v>0</v>
      </c>
      <c r="E43" s="44">
        <f>SUM(F43:Q43)</f>
        <v>5126.5684699999993</v>
      </c>
      <c r="F43" s="44">
        <f>SUM(F44:F49)</f>
        <v>0</v>
      </c>
      <c r="G43" s="44">
        <f t="shared" ref="G43:Q43" si="6">SUM(G44:G49)</f>
        <v>443.56279999999998</v>
      </c>
      <c r="H43" s="44">
        <f t="shared" si="6"/>
        <v>498.56279999999998</v>
      </c>
      <c r="I43" s="44">
        <f t="shared" si="6"/>
        <v>460.56279999999998</v>
      </c>
      <c r="J43" s="44">
        <f t="shared" si="6"/>
        <v>405.56279999999998</v>
      </c>
      <c r="K43" s="44">
        <f t="shared" si="6"/>
        <v>436.14814999999999</v>
      </c>
      <c r="L43" s="44">
        <f t="shared" si="6"/>
        <v>561.5258</v>
      </c>
      <c r="M43" s="44">
        <f t="shared" si="6"/>
        <v>381.92579999999998</v>
      </c>
      <c r="N43" s="44">
        <f t="shared" si="6"/>
        <v>635.52332000000001</v>
      </c>
      <c r="O43" s="44">
        <f t="shared" si="6"/>
        <v>451.92579999999998</v>
      </c>
      <c r="P43" s="44">
        <f t="shared" si="6"/>
        <v>523.92579999999998</v>
      </c>
      <c r="Q43" s="44">
        <f t="shared" si="6"/>
        <v>327.34259999999995</v>
      </c>
      <c r="R43" s="45">
        <f>R45+R46+R49</f>
        <v>7462.5356499999998</v>
      </c>
    </row>
    <row r="44" spans="1:19" s="17" customFormat="1" ht="23.25" customHeight="1" x14ac:dyDescent="0.35">
      <c r="A44" s="120"/>
      <c r="B44" s="121"/>
      <c r="C44" s="127"/>
      <c r="D44" s="18" t="s">
        <v>6</v>
      </c>
      <c r="E44" s="54">
        <f t="shared" ref="E44:E49" si="7">SUM(F44:Q44)</f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46"/>
    </row>
    <row r="45" spans="1:19" s="17" customFormat="1" ht="36.75" customHeight="1" x14ac:dyDescent="0.35">
      <c r="A45" s="120"/>
      <c r="B45" s="121"/>
      <c r="C45" s="127"/>
      <c r="D45" s="18" t="s">
        <v>7</v>
      </c>
      <c r="E45" s="54">
        <f>SUM(F45:Q45)</f>
        <v>179.6</v>
      </c>
      <c r="F45" s="55">
        <v>0</v>
      </c>
      <c r="G45" s="55">
        <v>0</v>
      </c>
      <c r="H45" s="55">
        <v>0</v>
      </c>
      <c r="I45" s="55"/>
      <c r="J45" s="55">
        <v>0</v>
      </c>
      <c r="K45" s="55">
        <v>0</v>
      </c>
      <c r="L45" s="55">
        <v>179.6</v>
      </c>
      <c r="M45" s="55">
        <v>0</v>
      </c>
      <c r="N45" s="55">
        <v>0</v>
      </c>
      <c r="O45" s="55">
        <v>0</v>
      </c>
      <c r="P45" s="55">
        <v>0</v>
      </c>
      <c r="Q45" s="55">
        <v>0</v>
      </c>
      <c r="R45" s="47">
        <v>175.3</v>
      </c>
    </row>
    <row r="46" spans="1:19" s="17" customFormat="1" ht="26.25" customHeight="1" x14ac:dyDescent="0.35">
      <c r="A46" s="120"/>
      <c r="B46" s="121"/>
      <c r="C46" s="127"/>
      <c r="D46" s="18" t="s">
        <v>1</v>
      </c>
      <c r="E46" s="57">
        <f>SUM(F46:Q46)</f>
        <v>4946.9684699999998</v>
      </c>
      <c r="F46" s="83">
        <v>0</v>
      </c>
      <c r="G46" s="55">
        <v>443.56279999999998</v>
      </c>
      <c r="H46" s="55">
        <v>498.56279999999998</v>
      </c>
      <c r="I46" s="55">
        <v>460.56279999999998</v>
      </c>
      <c r="J46" s="55">
        <v>405.56279999999998</v>
      </c>
      <c r="K46" s="55">
        <v>436.14814999999999</v>
      </c>
      <c r="L46" s="55">
        <v>381.92579999999998</v>
      </c>
      <c r="M46" s="55">
        <v>381.92579999999998</v>
      </c>
      <c r="N46" s="55">
        <v>635.52332000000001</v>
      </c>
      <c r="O46" s="55">
        <v>451.92579999999998</v>
      </c>
      <c r="P46" s="55">
        <v>523.92579999999998</v>
      </c>
      <c r="Q46" s="55">
        <f>1557.3426-1230</f>
        <v>327.34259999999995</v>
      </c>
      <c r="R46" s="47">
        <v>7287.2356499999996</v>
      </c>
    </row>
    <row r="47" spans="1:19" s="17" customFormat="1" ht="51" customHeight="1" x14ac:dyDescent="0.35">
      <c r="A47" s="120"/>
      <c r="B47" s="121"/>
      <c r="C47" s="127"/>
      <c r="D47" s="18" t="s">
        <v>2</v>
      </c>
      <c r="E47" s="54">
        <f t="shared" si="7"/>
        <v>0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  <c r="Q47" s="55">
        <v>0</v>
      </c>
      <c r="R47" s="47"/>
    </row>
    <row r="48" spans="1:19" s="17" customFormat="1" ht="33.75" customHeight="1" x14ac:dyDescent="0.35">
      <c r="A48" s="120"/>
      <c r="B48" s="121"/>
      <c r="C48" s="127"/>
      <c r="D48" s="18" t="s">
        <v>36</v>
      </c>
      <c r="E48" s="54">
        <f t="shared" si="7"/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0</v>
      </c>
      <c r="R48" s="47"/>
    </row>
    <row r="49" spans="1:18" s="17" customFormat="1" ht="35.25" customHeight="1" x14ac:dyDescent="0.35">
      <c r="A49" s="120"/>
      <c r="B49" s="121"/>
      <c r="C49" s="127"/>
      <c r="D49" s="18" t="s">
        <v>4</v>
      </c>
      <c r="E49" s="54">
        <f t="shared" si="7"/>
        <v>0</v>
      </c>
      <c r="F49" s="56">
        <v>0</v>
      </c>
      <c r="G49" s="56">
        <v>0</v>
      </c>
      <c r="H49" s="56">
        <v>0</v>
      </c>
      <c r="I49" s="49">
        <v>0</v>
      </c>
      <c r="J49" s="56">
        <v>0</v>
      </c>
      <c r="K49" s="56"/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47"/>
    </row>
    <row r="50" spans="1:18" s="17" customFormat="1" ht="24" customHeight="1" x14ac:dyDescent="0.35">
      <c r="A50" s="120" t="s">
        <v>42</v>
      </c>
      <c r="B50" s="121" t="s">
        <v>15</v>
      </c>
      <c r="C50" s="128" t="s">
        <v>51</v>
      </c>
      <c r="D50" s="19" t="s">
        <v>0</v>
      </c>
      <c r="E50" s="44">
        <f>SUM(F50:Q50)</f>
        <v>1385</v>
      </c>
      <c r="F50" s="50">
        <f>SUM(F51:F56)</f>
        <v>0</v>
      </c>
      <c r="G50" s="50">
        <f t="shared" ref="G50:Q50" si="8">SUM(G51:G56)</f>
        <v>94</v>
      </c>
      <c r="H50" s="50">
        <f t="shared" si="8"/>
        <v>180</v>
      </c>
      <c r="I50" s="50">
        <f t="shared" si="8"/>
        <v>131</v>
      </c>
      <c r="J50" s="50">
        <f t="shared" si="8"/>
        <v>150</v>
      </c>
      <c r="K50" s="50">
        <f t="shared" si="8"/>
        <v>51</v>
      </c>
      <c r="L50" s="50">
        <f t="shared" si="8"/>
        <v>130</v>
      </c>
      <c r="M50" s="50">
        <f t="shared" si="8"/>
        <v>74</v>
      </c>
      <c r="N50" s="50">
        <f t="shared" si="8"/>
        <v>495</v>
      </c>
      <c r="O50" s="50">
        <f t="shared" si="8"/>
        <v>80</v>
      </c>
      <c r="P50" s="50">
        <f t="shared" si="8"/>
        <v>0</v>
      </c>
      <c r="Q50" s="50">
        <f t="shared" si="8"/>
        <v>0</v>
      </c>
      <c r="R50" s="45">
        <f>R53+R56</f>
        <v>833.9</v>
      </c>
    </row>
    <row r="51" spans="1:18" s="17" customFormat="1" ht="22.5" customHeight="1" x14ac:dyDescent="0.35">
      <c r="A51" s="120"/>
      <c r="B51" s="121"/>
      <c r="C51" s="128"/>
      <c r="D51" s="20" t="s">
        <v>6</v>
      </c>
      <c r="E51" s="54">
        <f t="shared" ref="E51:E56" si="9">SUM(F51:Q51)</f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46"/>
    </row>
    <row r="52" spans="1:18" s="17" customFormat="1" ht="41.25" customHeight="1" x14ac:dyDescent="0.35">
      <c r="A52" s="120"/>
      <c r="B52" s="121"/>
      <c r="C52" s="128"/>
      <c r="D52" s="20" t="s">
        <v>7</v>
      </c>
      <c r="E52" s="54">
        <f t="shared" si="9"/>
        <v>0</v>
      </c>
      <c r="F52" s="51">
        <v>0</v>
      </c>
      <c r="G52" s="73">
        <v>0</v>
      </c>
      <c r="H52" s="73">
        <v>0</v>
      </c>
      <c r="I52" s="73">
        <v>0</v>
      </c>
      <c r="J52" s="73">
        <v>0</v>
      </c>
      <c r="K52" s="73">
        <v>0</v>
      </c>
      <c r="L52" s="73">
        <v>0</v>
      </c>
      <c r="M52" s="73">
        <v>0</v>
      </c>
      <c r="N52" s="73">
        <v>0</v>
      </c>
      <c r="O52" s="73">
        <v>0</v>
      </c>
      <c r="P52" s="51">
        <v>0</v>
      </c>
      <c r="Q52" s="51">
        <v>0</v>
      </c>
      <c r="R52" s="46"/>
    </row>
    <row r="53" spans="1:18" s="17" customFormat="1" ht="22.5" customHeight="1" x14ac:dyDescent="0.35">
      <c r="A53" s="120"/>
      <c r="B53" s="121"/>
      <c r="C53" s="128"/>
      <c r="D53" s="20" t="s">
        <v>1</v>
      </c>
      <c r="E53" s="54">
        <f t="shared" si="9"/>
        <v>1385</v>
      </c>
      <c r="F53" s="73"/>
      <c r="G53" s="73">
        <f>29+65</f>
        <v>94</v>
      </c>
      <c r="H53" s="51">
        <f>30+105+30+15</f>
        <v>180</v>
      </c>
      <c r="I53" s="51">
        <f>50+37+20+24</f>
        <v>131</v>
      </c>
      <c r="J53" s="51">
        <f>60+70+20</f>
        <v>150</v>
      </c>
      <c r="K53" s="51">
        <f>20+15+16</f>
        <v>51</v>
      </c>
      <c r="L53" s="51">
        <f>30+100</f>
        <v>130</v>
      </c>
      <c r="M53" s="51">
        <f>20+54</f>
        <v>74</v>
      </c>
      <c r="N53" s="51">
        <f>60+20+15+500-100</f>
        <v>495</v>
      </c>
      <c r="O53" s="51">
        <f>45+30+5</f>
        <v>80</v>
      </c>
      <c r="P53" s="51">
        <v>0</v>
      </c>
      <c r="Q53" s="51">
        <v>0</v>
      </c>
      <c r="R53" s="47">
        <f>310+108.9+205</f>
        <v>623.9</v>
      </c>
    </row>
    <row r="54" spans="1:18" s="17" customFormat="1" ht="60" customHeight="1" x14ac:dyDescent="0.35">
      <c r="A54" s="120"/>
      <c r="B54" s="121"/>
      <c r="C54" s="128"/>
      <c r="D54" s="20" t="s">
        <v>2</v>
      </c>
      <c r="E54" s="54">
        <f t="shared" si="9"/>
        <v>0</v>
      </c>
      <c r="F54" s="51">
        <v>0</v>
      </c>
      <c r="G54" s="73">
        <v>0</v>
      </c>
      <c r="H54" s="73">
        <v>0</v>
      </c>
      <c r="I54" s="73">
        <v>0</v>
      </c>
      <c r="J54" s="73">
        <v>0</v>
      </c>
      <c r="K54" s="73">
        <v>0</v>
      </c>
      <c r="L54" s="73">
        <v>0</v>
      </c>
      <c r="M54" s="73">
        <v>0</v>
      </c>
      <c r="N54" s="73">
        <v>0</v>
      </c>
      <c r="O54" s="73">
        <v>0</v>
      </c>
      <c r="P54" s="51">
        <v>0</v>
      </c>
      <c r="Q54" s="51">
        <v>0</v>
      </c>
      <c r="R54" s="47"/>
    </row>
    <row r="55" spans="1:18" s="17" customFormat="1" ht="33.75" customHeight="1" x14ac:dyDescent="0.35">
      <c r="A55" s="120"/>
      <c r="B55" s="121"/>
      <c r="C55" s="128"/>
      <c r="D55" s="18" t="s">
        <v>36</v>
      </c>
      <c r="E55" s="54">
        <f t="shared" si="9"/>
        <v>0</v>
      </c>
      <c r="F55" s="55">
        <v>0</v>
      </c>
      <c r="G55" s="70">
        <v>0</v>
      </c>
      <c r="H55" s="85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  <c r="O55" s="70">
        <v>0</v>
      </c>
      <c r="P55" s="55">
        <v>0</v>
      </c>
      <c r="Q55" s="55">
        <v>0</v>
      </c>
      <c r="R55" s="47"/>
    </row>
    <row r="56" spans="1:18" s="17" customFormat="1" ht="22.5" customHeight="1" x14ac:dyDescent="0.35">
      <c r="A56" s="120"/>
      <c r="B56" s="121"/>
      <c r="C56" s="128"/>
      <c r="D56" s="20" t="s">
        <v>4</v>
      </c>
      <c r="E56" s="54">
        <f t="shared" si="9"/>
        <v>0</v>
      </c>
      <c r="F56" s="51">
        <v>0</v>
      </c>
      <c r="G56" s="73">
        <f>65-65</f>
        <v>0</v>
      </c>
      <c r="H56" s="51">
        <f>15-15</f>
        <v>0</v>
      </c>
      <c r="I56" s="51">
        <f>24-24</f>
        <v>0</v>
      </c>
      <c r="J56" s="51">
        <v>0</v>
      </c>
      <c r="K56" s="51">
        <f>16-16</f>
        <v>0</v>
      </c>
      <c r="L56" s="51">
        <v>0</v>
      </c>
      <c r="M56" s="51">
        <v>0</v>
      </c>
      <c r="N56" s="51">
        <v>0</v>
      </c>
      <c r="O56" s="51">
        <f>5-5</f>
        <v>0</v>
      </c>
      <c r="P56" s="51">
        <v>0</v>
      </c>
      <c r="Q56" s="73"/>
      <c r="R56" s="47">
        <f>90+60+60</f>
        <v>210</v>
      </c>
    </row>
    <row r="57" spans="1:18" s="17" customFormat="1" ht="22.5" customHeight="1" x14ac:dyDescent="0.35">
      <c r="A57" s="120" t="s">
        <v>43</v>
      </c>
      <c r="B57" s="121" t="s">
        <v>16</v>
      </c>
      <c r="C57" s="128" t="s">
        <v>51</v>
      </c>
      <c r="D57" s="19" t="s">
        <v>0</v>
      </c>
      <c r="E57" s="44">
        <f>SUM(F57:Q57)</f>
        <v>60</v>
      </c>
      <c r="F57" s="50">
        <f>SUM(F58:F63)</f>
        <v>0</v>
      </c>
      <c r="G57" s="50">
        <f t="shared" ref="G57:Q57" si="10">SUM(G58:G63)</f>
        <v>0</v>
      </c>
      <c r="H57" s="50">
        <f t="shared" si="10"/>
        <v>0</v>
      </c>
      <c r="I57" s="50">
        <f t="shared" si="10"/>
        <v>0</v>
      </c>
      <c r="J57" s="50">
        <f t="shared" si="10"/>
        <v>0</v>
      </c>
      <c r="K57" s="50">
        <f t="shared" si="10"/>
        <v>0</v>
      </c>
      <c r="L57" s="50">
        <f t="shared" si="10"/>
        <v>0</v>
      </c>
      <c r="M57" s="50">
        <f t="shared" si="10"/>
        <v>0</v>
      </c>
      <c r="N57" s="50">
        <f t="shared" si="10"/>
        <v>60</v>
      </c>
      <c r="O57" s="50">
        <f t="shared" si="10"/>
        <v>0</v>
      </c>
      <c r="P57" s="50">
        <f t="shared" si="10"/>
        <v>0</v>
      </c>
      <c r="Q57" s="50">
        <f t="shared" si="10"/>
        <v>0</v>
      </c>
      <c r="R57" s="45">
        <f>R60</f>
        <v>60</v>
      </c>
    </row>
    <row r="58" spans="1:18" s="17" customFormat="1" ht="22.5" customHeight="1" x14ac:dyDescent="0.35">
      <c r="A58" s="120"/>
      <c r="B58" s="121"/>
      <c r="C58" s="128"/>
      <c r="D58" s="20" t="s">
        <v>6</v>
      </c>
      <c r="E58" s="54">
        <f t="shared" ref="E58:E63" si="11">SUM(F58:Q58)</f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46"/>
    </row>
    <row r="59" spans="1:18" s="17" customFormat="1" ht="39.75" customHeight="1" x14ac:dyDescent="0.35">
      <c r="A59" s="120"/>
      <c r="B59" s="121"/>
      <c r="C59" s="128"/>
      <c r="D59" s="20" t="s">
        <v>7</v>
      </c>
      <c r="E59" s="54">
        <f t="shared" si="11"/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46"/>
    </row>
    <row r="60" spans="1:18" s="17" customFormat="1" ht="28.5" customHeight="1" x14ac:dyDescent="0.35">
      <c r="A60" s="120"/>
      <c r="B60" s="121"/>
      <c r="C60" s="128"/>
      <c r="D60" s="20" t="s">
        <v>1</v>
      </c>
      <c r="E60" s="54">
        <f t="shared" si="11"/>
        <v>60</v>
      </c>
      <c r="F60" s="51">
        <v>0</v>
      </c>
      <c r="G60" s="51">
        <v>0</v>
      </c>
      <c r="H60" s="51">
        <v>0</v>
      </c>
      <c r="I60" s="51"/>
      <c r="J60" s="51">
        <v>0</v>
      </c>
      <c r="K60" s="51">
        <v>0</v>
      </c>
      <c r="L60" s="51">
        <v>0</v>
      </c>
      <c r="M60" s="51">
        <v>0</v>
      </c>
      <c r="N60" s="51">
        <v>60</v>
      </c>
      <c r="O60" s="51">
        <v>0</v>
      </c>
      <c r="P60" s="51">
        <v>0</v>
      </c>
      <c r="Q60" s="51">
        <v>0</v>
      </c>
      <c r="R60" s="47">
        <v>60</v>
      </c>
    </row>
    <row r="61" spans="1:18" s="17" customFormat="1" ht="60" customHeight="1" x14ac:dyDescent="0.35">
      <c r="A61" s="120"/>
      <c r="B61" s="121"/>
      <c r="C61" s="128"/>
      <c r="D61" s="20" t="s">
        <v>2</v>
      </c>
      <c r="E61" s="54">
        <f t="shared" si="11"/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46"/>
    </row>
    <row r="62" spans="1:18" s="17" customFormat="1" ht="33.75" customHeight="1" x14ac:dyDescent="0.35">
      <c r="A62" s="120"/>
      <c r="B62" s="121"/>
      <c r="C62" s="128"/>
      <c r="D62" s="18" t="s">
        <v>36</v>
      </c>
      <c r="E62" s="54">
        <f t="shared" si="11"/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46"/>
    </row>
    <row r="63" spans="1:18" s="17" customFormat="1" ht="28.5" customHeight="1" x14ac:dyDescent="0.35">
      <c r="A63" s="120"/>
      <c r="B63" s="121"/>
      <c r="C63" s="128"/>
      <c r="D63" s="20" t="s">
        <v>4</v>
      </c>
      <c r="E63" s="54">
        <f t="shared" si="11"/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46"/>
    </row>
    <row r="64" spans="1:18" s="17" customFormat="1" ht="24.75" customHeight="1" x14ac:dyDescent="0.35">
      <c r="A64" s="120" t="s">
        <v>44</v>
      </c>
      <c r="B64" s="121" t="s">
        <v>17</v>
      </c>
      <c r="C64" s="128" t="s">
        <v>51</v>
      </c>
      <c r="D64" s="19" t="s">
        <v>0</v>
      </c>
      <c r="E64" s="44">
        <f>SUM(F64:Q64)</f>
        <v>125</v>
      </c>
      <c r="F64" s="50">
        <f>SUM(F65:F70)</f>
        <v>0</v>
      </c>
      <c r="G64" s="50">
        <f t="shared" ref="G64:Q64" si="12">SUM(G65:G70)</f>
        <v>0</v>
      </c>
      <c r="H64" s="50">
        <f t="shared" si="12"/>
        <v>0</v>
      </c>
      <c r="I64" s="50">
        <f t="shared" si="12"/>
        <v>0</v>
      </c>
      <c r="J64" s="50">
        <f t="shared" si="12"/>
        <v>0</v>
      </c>
      <c r="K64" s="50">
        <f t="shared" si="12"/>
        <v>0</v>
      </c>
      <c r="L64" s="50">
        <f t="shared" si="12"/>
        <v>0</v>
      </c>
      <c r="M64" s="50">
        <f t="shared" si="12"/>
        <v>125</v>
      </c>
      <c r="N64" s="50">
        <f t="shared" si="12"/>
        <v>0</v>
      </c>
      <c r="O64" s="50">
        <f t="shared" si="12"/>
        <v>0</v>
      </c>
      <c r="P64" s="50">
        <f t="shared" si="12"/>
        <v>0</v>
      </c>
      <c r="Q64" s="50">
        <f t="shared" si="12"/>
        <v>0</v>
      </c>
      <c r="R64" s="45">
        <f>R67</f>
        <v>125</v>
      </c>
    </row>
    <row r="65" spans="1:18" s="17" customFormat="1" ht="32.25" customHeight="1" x14ac:dyDescent="0.35">
      <c r="A65" s="120"/>
      <c r="B65" s="121"/>
      <c r="C65" s="128"/>
      <c r="D65" s="20" t="s">
        <v>6</v>
      </c>
      <c r="E65" s="54">
        <f t="shared" ref="E65:E70" si="13">SUM(F65:Q65)</f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46"/>
    </row>
    <row r="66" spans="1:18" s="17" customFormat="1" ht="39.75" customHeight="1" x14ac:dyDescent="0.35">
      <c r="A66" s="120"/>
      <c r="B66" s="121"/>
      <c r="C66" s="128"/>
      <c r="D66" s="20" t="s">
        <v>7</v>
      </c>
      <c r="E66" s="54">
        <f t="shared" si="13"/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46"/>
    </row>
    <row r="67" spans="1:18" s="17" customFormat="1" ht="30" customHeight="1" x14ac:dyDescent="0.35">
      <c r="A67" s="120"/>
      <c r="B67" s="121"/>
      <c r="C67" s="128"/>
      <c r="D67" s="20" t="s">
        <v>1</v>
      </c>
      <c r="E67" s="54">
        <f t="shared" si="13"/>
        <v>125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/>
      <c r="L67" s="51">
        <v>0</v>
      </c>
      <c r="M67" s="51">
        <v>125</v>
      </c>
      <c r="N67" s="51">
        <v>0</v>
      </c>
      <c r="O67" s="51">
        <v>0</v>
      </c>
      <c r="P67" s="51">
        <v>0</v>
      </c>
      <c r="Q67" s="51">
        <v>0</v>
      </c>
      <c r="R67" s="47">
        <v>125</v>
      </c>
    </row>
    <row r="68" spans="1:18" s="17" customFormat="1" ht="60" customHeight="1" x14ac:dyDescent="0.35">
      <c r="A68" s="120"/>
      <c r="B68" s="121"/>
      <c r="C68" s="128"/>
      <c r="D68" s="20" t="s">
        <v>2</v>
      </c>
      <c r="E68" s="54">
        <f t="shared" si="13"/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46"/>
    </row>
    <row r="69" spans="1:18" s="17" customFormat="1" ht="33.75" customHeight="1" x14ac:dyDescent="0.35">
      <c r="A69" s="120"/>
      <c r="B69" s="121"/>
      <c r="C69" s="128"/>
      <c r="D69" s="18" t="s">
        <v>36</v>
      </c>
      <c r="E69" s="54">
        <f t="shared" si="13"/>
        <v>0</v>
      </c>
      <c r="F69" s="55">
        <v>0</v>
      </c>
      <c r="G69" s="55">
        <v>0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0</v>
      </c>
      <c r="P69" s="55">
        <v>0</v>
      </c>
      <c r="Q69" s="55">
        <v>0</v>
      </c>
      <c r="R69" s="46"/>
    </row>
    <row r="70" spans="1:18" s="17" customFormat="1" ht="27.75" customHeight="1" x14ac:dyDescent="0.35">
      <c r="A70" s="120"/>
      <c r="B70" s="121"/>
      <c r="C70" s="128"/>
      <c r="D70" s="20" t="s">
        <v>4</v>
      </c>
      <c r="E70" s="54">
        <f t="shared" si="13"/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46"/>
    </row>
    <row r="71" spans="1:18" s="17" customFormat="1" ht="27.75" customHeight="1" x14ac:dyDescent="0.35">
      <c r="A71" s="120" t="s">
        <v>45</v>
      </c>
      <c r="B71" s="121" t="s">
        <v>58</v>
      </c>
      <c r="C71" s="128" t="s">
        <v>51</v>
      </c>
      <c r="D71" s="19" t="s">
        <v>0</v>
      </c>
      <c r="E71" s="44">
        <f>SUM(F71:Q71)</f>
        <v>0</v>
      </c>
      <c r="F71" s="50">
        <f>SUM(F72:F77)</f>
        <v>0</v>
      </c>
      <c r="G71" s="50">
        <f t="shared" ref="G71:Q71" si="14">SUM(G72:G77)</f>
        <v>0</v>
      </c>
      <c r="H71" s="50">
        <f t="shared" si="14"/>
        <v>0</v>
      </c>
      <c r="I71" s="50">
        <f t="shared" si="14"/>
        <v>0</v>
      </c>
      <c r="J71" s="50">
        <f t="shared" si="14"/>
        <v>0</v>
      </c>
      <c r="K71" s="50">
        <f t="shared" si="14"/>
        <v>0</v>
      </c>
      <c r="L71" s="50">
        <f t="shared" si="14"/>
        <v>0</v>
      </c>
      <c r="M71" s="50">
        <f t="shared" si="14"/>
        <v>0</v>
      </c>
      <c r="N71" s="50">
        <f t="shared" si="14"/>
        <v>0</v>
      </c>
      <c r="O71" s="50">
        <f t="shared" si="14"/>
        <v>0</v>
      </c>
      <c r="P71" s="50">
        <f t="shared" si="14"/>
        <v>0</v>
      </c>
      <c r="Q71" s="50">
        <f t="shared" si="14"/>
        <v>0</v>
      </c>
      <c r="R71" s="46"/>
    </row>
    <row r="72" spans="1:18" s="17" customFormat="1" ht="27.75" customHeight="1" x14ac:dyDescent="0.35">
      <c r="A72" s="120"/>
      <c r="B72" s="121"/>
      <c r="C72" s="128"/>
      <c r="D72" s="20" t="s">
        <v>6</v>
      </c>
      <c r="E72" s="54">
        <f t="shared" ref="E72:E77" si="15">SUM(F72:Q72)</f>
        <v>0</v>
      </c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46"/>
    </row>
    <row r="73" spans="1:18" s="17" customFormat="1" ht="39" customHeight="1" x14ac:dyDescent="0.35">
      <c r="A73" s="120"/>
      <c r="B73" s="121"/>
      <c r="C73" s="128"/>
      <c r="D73" s="20" t="s">
        <v>7</v>
      </c>
      <c r="E73" s="54">
        <f t="shared" si="15"/>
        <v>0</v>
      </c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46"/>
    </row>
    <row r="74" spans="1:18" s="17" customFormat="1" ht="27.75" customHeight="1" x14ac:dyDescent="0.35">
      <c r="A74" s="120"/>
      <c r="B74" s="121"/>
      <c r="C74" s="128"/>
      <c r="D74" s="20" t="s">
        <v>1</v>
      </c>
      <c r="E74" s="54">
        <f t="shared" si="15"/>
        <v>0</v>
      </c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46"/>
    </row>
    <row r="75" spans="1:18" s="17" customFormat="1" ht="59.25" customHeight="1" x14ac:dyDescent="0.35">
      <c r="A75" s="120"/>
      <c r="B75" s="121"/>
      <c r="C75" s="128"/>
      <c r="D75" s="20" t="s">
        <v>2</v>
      </c>
      <c r="E75" s="54">
        <f t="shared" si="15"/>
        <v>0</v>
      </c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46"/>
    </row>
    <row r="76" spans="1:18" s="17" customFormat="1" ht="31.5" customHeight="1" x14ac:dyDescent="0.35">
      <c r="A76" s="120"/>
      <c r="B76" s="121"/>
      <c r="C76" s="128"/>
      <c r="D76" s="18" t="s">
        <v>36</v>
      </c>
      <c r="E76" s="54">
        <f t="shared" si="15"/>
        <v>0</v>
      </c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46"/>
    </row>
    <row r="77" spans="1:18" s="17" customFormat="1" ht="27.75" customHeight="1" x14ac:dyDescent="0.35">
      <c r="A77" s="120"/>
      <c r="B77" s="121"/>
      <c r="C77" s="128"/>
      <c r="D77" s="20" t="s">
        <v>4</v>
      </c>
      <c r="E77" s="54">
        <f t="shared" si="15"/>
        <v>0</v>
      </c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46"/>
    </row>
    <row r="78" spans="1:18" s="39" customFormat="1" ht="27.75" customHeight="1" x14ac:dyDescent="0.35">
      <c r="A78" s="129" t="s">
        <v>59</v>
      </c>
      <c r="B78" s="121" t="s">
        <v>60</v>
      </c>
      <c r="C78" s="123" t="s">
        <v>63</v>
      </c>
      <c r="D78" s="38" t="s">
        <v>0</v>
      </c>
      <c r="E78" s="52">
        <f>SUM(F78:Q78)</f>
        <v>156017.95973</v>
      </c>
      <c r="F78" s="52">
        <f>SUM(F79:F84)</f>
        <v>13956.22313</v>
      </c>
      <c r="G78" s="52">
        <f t="shared" ref="G78:Q78" si="16">SUM(G79:G84)</f>
        <v>12605.081470000001</v>
      </c>
      <c r="H78" s="52">
        <f t="shared" si="16"/>
        <v>10507.494989999999</v>
      </c>
      <c r="I78" s="52">
        <f t="shared" si="16"/>
        <v>11857.438099999999</v>
      </c>
      <c r="J78" s="52">
        <f t="shared" si="16"/>
        <v>10908.15243</v>
      </c>
      <c r="K78" s="52">
        <f t="shared" si="16"/>
        <v>16293.35252</v>
      </c>
      <c r="L78" s="52">
        <f t="shared" si="16"/>
        <v>19791.089010000003</v>
      </c>
      <c r="M78" s="52">
        <f t="shared" si="16"/>
        <v>11457.93354</v>
      </c>
      <c r="N78" s="52">
        <f>SUM(N79:N84)</f>
        <v>10828.433440000001</v>
      </c>
      <c r="O78" s="52">
        <f>SUM(O79:O84)</f>
        <v>11061.18858</v>
      </c>
      <c r="P78" s="52">
        <f t="shared" si="16"/>
        <v>10524.44665</v>
      </c>
      <c r="Q78" s="52">
        <f t="shared" si="16"/>
        <v>16227.12587</v>
      </c>
      <c r="R78" s="45">
        <f>R80+R81+R84</f>
        <v>102525.7</v>
      </c>
    </row>
    <row r="79" spans="1:18" s="39" customFormat="1" ht="27" customHeight="1" x14ac:dyDescent="0.35">
      <c r="A79" s="129"/>
      <c r="B79" s="121"/>
      <c r="C79" s="123"/>
      <c r="D79" s="40" t="s">
        <v>6</v>
      </c>
      <c r="E79" s="57">
        <f t="shared" ref="E79:E81" si="17">SUM(F79:Q79)</f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46"/>
    </row>
    <row r="80" spans="1:18" s="39" customFormat="1" ht="40.5" customHeight="1" x14ac:dyDescent="0.35">
      <c r="A80" s="129"/>
      <c r="B80" s="121"/>
      <c r="C80" s="123"/>
      <c r="D80" s="40" t="s">
        <v>7</v>
      </c>
      <c r="E80" s="57">
        <f>G80+H80+I80+J80+K80+L80+M80+N80+O80+P80+Q80+F80</f>
        <v>95128.79873000001</v>
      </c>
      <c r="F80" s="56">
        <v>0</v>
      </c>
      <c r="G80" s="56">
        <f>5306.784+5799.06263</f>
        <v>11105.84663</v>
      </c>
      <c r="H80" s="56">
        <f>7282.09977-5799.06263+4204.44873</f>
        <v>5687.4858699999995</v>
      </c>
      <c r="I80" s="56">
        <f>7327.39977-4204.45</f>
        <v>3122.9497700000002</v>
      </c>
      <c r="J80" s="56">
        <v>8681.6103000000003</v>
      </c>
      <c r="K80" s="56">
        <v>10113.476350000001</v>
      </c>
      <c r="L80" s="56">
        <f>10622.39048+7000</f>
        <v>17622.390480000002</v>
      </c>
      <c r="M80" s="56">
        <f>11482.79048-3000</f>
        <v>8482.7904799999997</v>
      </c>
      <c r="N80" s="56">
        <f>9197.28548-2000</f>
        <v>7197.2854800000005</v>
      </c>
      <c r="O80" s="56">
        <v>7584.0997699999998</v>
      </c>
      <c r="P80" s="56">
        <v>7327.39977</v>
      </c>
      <c r="Q80" s="55">
        <f>10203.46385-0.00002-2000</f>
        <v>8203.4638300000006</v>
      </c>
      <c r="R80" s="47">
        <f>37070.2+16193.8</f>
        <v>53264</v>
      </c>
    </row>
    <row r="81" spans="1:19" s="39" customFormat="1" ht="36" customHeight="1" x14ac:dyDescent="0.35">
      <c r="A81" s="129"/>
      <c r="B81" s="121"/>
      <c r="C81" s="123"/>
      <c r="D81" s="40" t="s">
        <v>1</v>
      </c>
      <c r="E81" s="57">
        <f t="shared" si="17"/>
        <v>60889.161000000007</v>
      </c>
      <c r="F81" s="55">
        <v>13956.22313</v>
      </c>
      <c r="G81" s="55">
        <f>5292.63046-3793.39562</f>
        <v>1499.2348400000005</v>
      </c>
      <c r="H81" s="55">
        <f>3557.5625+3793.39562-2530.949</f>
        <v>4820.0091199999988</v>
      </c>
      <c r="I81" s="55">
        <f>6203.54333+2530.945</f>
        <v>8734.4883300000001</v>
      </c>
      <c r="J81" s="55">
        <f>2230.06657+1761.61656-1765.141</f>
        <v>2226.5421299999998</v>
      </c>
      <c r="K81" s="55">
        <v>6179.8761699999995</v>
      </c>
      <c r="L81" s="55">
        <v>2168.6985300000001</v>
      </c>
      <c r="M81" s="55">
        <f>2975.14306</f>
        <v>2975.1430599999999</v>
      </c>
      <c r="N81" s="70">
        <f>4931.76452-1300.61656</f>
        <v>3631.1479599999998</v>
      </c>
      <c r="O81" s="70">
        <v>3477.0888100000002</v>
      </c>
      <c r="P81" s="70">
        <v>3197.0468799999999</v>
      </c>
      <c r="Q81" s="70">
        <f>8484.66204-461</f>
        <v>8023.6620399999993</v>
      </c>
      <c r="R81" s="47">
        <v>49261.7</v>
      </c>
    </row>
    <row r="82" spans="1:19" s="39" customFormat="1" ht="63.75" customHeight="1" x14ac:dyDescent="0.35">
      <c r="A82" s="129"/>
      <c r="B82" s="121"/>
      <c r="C82" s="123"/>
      <c r="D82" s="40" t="s">
        <v>2</v>
      </c>
      <c r="E82" s="57">
        <v>0</v>
      </c>
      <c r="F82" s="55"/>
      <c r="G82" s="55">
        <v>0</v>
      </c>
      <c r="H82" s="55">
        <v>0</v>
      </c>
      <c r="I82" s="55">
        <v>0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70">
        <v>0</v>
      </c>
      <c r="Q82" s="70">
        <v>0</v>
      </c>
      <c r="R82" s="47"/>
    </row>
    <row r="83" spans="1:19" s="39" customFormat="1" ht="24.75" customHeight="1" x14ac:dyDescent="0.35">
      <c r="A83" s="129"/>
      <c r="B83" s="121"/>
      <c r="C83" s="123"/>
      <c r="D83" s="40" t="s">
        <v>36</v>
      </c>
      <c r="E83" s="57">
        <v>0</v>
      </c>
      <c r="F83" s="55">
        <v>0</v>
      </c>
      <c r="G83" s="70">
        <v>0</v>
      </c>
      <c r="H83" s="70"/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  <c r="P83" s="70">
        <v>0</v>
      </c>
      <c r="Q83" s="70">
        <v>0</v>
      </c>
      <c r="R83" s="47"/>
    </row>
    <row r="84" spans="1:19" s="39" customFormat="1" ht="30" customHeight="1" x14ac:dyDescent="0.35">
      <c r="A84" s="129"/>
      <c r="B84" s="121"/>
      <c r="C84" s="123"/>
      <c r="D84" s="40" t="s">
        <v>4</v>
      </c>
      <c r="E84" s="57">
        <f>G84+H84+I84+J84+K84+L84+M84+N84+O84+P84+Q84</f>
        <v>0</v>
      </c>
      <c r="F84" s="55">
        <v>0</v>
      </c>
      <c r="G84" s="70">
        <v>0</v>
      </c>
      <c r="H84" s="70"/>
      <c r="I84" s="70">
        <v>0</v>
      </c>
      <c r="J84" s="70">
        <v>0</v>
      </c>
      <c r="K84" s="69">
        <v>0</v>
      </c>
      <c r="L84" s="70"/>
      <c r="M84" s="70"/>
      <c r="N84" s="70">
        <v>0</v>
      </c>
      <c r="O84" s="70">
        <v>0</v>
      </c>
      <c r="P84" s="70"/>
      <c r="Q84" s="70">
        <f>778.09401-778.09401</f>
        <v>0</v>
      </c>
      <c r="R84" s="47"/>
    </row>
    <row r="85" spans="1:19" s="21" customFormat="1" ht="30" customHeight="1" x14ac:dyDescent="0.35">
      <c r="A85" s="117" t="s">
        <v>3</v>
      </c>
      <c r="B85" s="117"/>
      <c r="C85" s="118"/>
      <c r="D85" s="67" t="s">
        <v>0</v>
      </c>
      <c r="E85" s="54">
        <f>SUM(F85:Q85)</f>
        <v>611435.92920999997</v>
      </c>
      <c r="F85" s="54">
        <f>SUM(F86:F91)</f>
        <v>27980.503805</v>
      </c>
      <c r="G85" s="54">
        <f t="shared" ref="G85:Q85" si="18">SUM(G86:G91)</f>
        <v>63887.698449999996</v>
      </c>
      <c r="H85" s="54">
        <f t="shared" si="18"/>
        <v>50634.693599999991</v>
      </c>
      <c r="I85" s="54">
        <f t="shared" si="18"/>
        <v>51740.532460000002</v>
      </c>
      <c r="J85" s="54">
        <f t="shared" si="18"/>
        <v>52557.171770000001</v>
      </c>
      <c r="K85" s="54">
        <f t="shared" si="18"/>
        <v>54755.048760000005</v>
      </c>
      <c r="L85" s="54">
        <f t="shared" si="18"/>
        <v>60319.077475000006</v>
      </c>
      <c r="M85" s="54">
        <f t="shared" si="18"/>
        <v>45258.558779999999</v>
      </c>
      <c r="N85" s="54">
        <f t="shared" si="18"/>
        <v>45991.247115000006</v>
      </c>
      <c r="O85" s="54">
        <f t="shared" si="18"/>
        <v>43989.482919999995</v>
      </c>
      <c r="P85" s="80">
        <f t="shared" si="18"/>
        <v>39503.124810000001</v>
      </c>
      <c r="Q85" s="80">
        <f t="shared" si="18"/>
        <v>74818.789264999985</v>
      </c>
      <c r="R85" s="53"/>
    </row>
    <row r="86" spans="1:19" s="21" customFormat="1" ht="36" customHeight="1" x14ac:dyDescent="0.35">
      <c r="A86" s="117"/>
      <c r="B86" s="117"/>
      <c r="C86" s="118"/>
      <c r="D86" s="67" t="s">
        <v>6</v>
      </c>
      <c r="E86" s="54">
        <f>SUM(F86:Q86)</f>
        <v>5128.2</v>
      </c>
      <c r="F86" s="89">
        <f t="shared" ref="F86:Q91" si="19">F23+F30+F37+F44+F51+F58+F65+F79</f>
        <v>32.815000000000005</v>
      </c>
      <c r="G86" s="89">
        <f t="shared" si="19"/>
        <v>424.54740000000004</v>
      </c>
      <c r="H86" s="89">
        <f t="shared" si="19"/>
        <v>832.44421</v>
      </c>
      <c r="I86" s="54">
        <f t="shared" si="19"/>
        <v>479.48499999999996</v>
      </c>
      <c r="J86" s="54">
        <f t="shared" si="19"/>
        <v>252.709</v>
      </c>
      <c r="K86" s="54">
        <f t="shared" si="19"/>
        <v>651.44100000000003</v>
      </c>
      <c r="L86" s="54">
        <f t="shared" si="19"/>
        <v>1197.6151500000001</v>
      </c>
      <c r="M86" s="54">
        <f t="shared" si="19"/>
        <v>629.71699999999998</v>
      </c>
      <c r="N86" s="54">
        <f t="shared" si="19"/>
        <v>252.76900000000001</v>
      </c>
      <c r="O86" s="54">
        <f t="shared" si="19"/>
        <v>32.075000000000003</v>
      </c>
      <c r="P86" s="80">
        <f t="shared" si="19"/>
        <v>307.46925000000005</v>
      </c>
      <c r="Q86" s="80">
        <f t="shared" si="19"/>
        <v>35.112990000000003</v>
      </c>
      <c r="R86" s="53"/>
    </row>
    <row r="87" spans="1:19" s="21" customFormat="1" ht="43.5" customHeight="1" x14ac:dyDescent="0.35">
      <c r="A87" s="117"/>
      <c r="B87" s="117"/>
      <c r="C87" s="118"/>
      <c r="D87" s="67" t="s">
        <v>7</v>
      </c>
      <c r="E87" s="54">
        <f t="shared" ref="E87:E91" si="20">SUM(F87:Q87)</f>
        <v>96362.29873000001</v>
      </c>
      <c r="F87" s="54">
        <f t="shared" si="19"/>
        <v>9.4307399999999859</v>
      </c>
      <c r="G87" s="54">
        <f t="shared" si="19"/>
        <v>11215.11663</v>
      </c>
      <c r="H87" s="54">
        <f t="shared" si="19"/>
        <v>5807.8148699999992</v>
      </c>
      <c r="I87" s="54">
        <f t="shared" si="19"/>
        <v>3173.1248700000001</v>
      </c>
      <c r="J87" s="54">
        <f t="shared" si="19"/>
        <v>8706.2103000000006</v>
      </c>
      <c r="K87" s="54">
        <f t="shared" si="19"/>
        <v>10149.495350000001</v>
      </c>
      <c r="L87" s="54">
        <f t="shared" si="19"/>
        <v>17888.319480000002</v>
      </c>
      <c r="M87" s="54">
        <f t="shared" si="19"/>
        <v>8482.7904799999997</v>
      </c>
      <c r="N87" s="54">
        <f t="shared" si="19"/>
        <v>7208.7054800000005</v>
      </c>
      <c r="O87" s="54">
        <f t="shared" si="19"/>
        <v>7806.0617700000003</v>
      </c>
      <c r="P87" s="80">
        <f t="shared" si="19"/>
        <v>7662.1159299999999</v>
      </c>
      <c r="Q87" s="80">
        <f t="shared" si="19"/>
        <v>8253.11283</v>
      </c>
      <c r="R87" s="53"/>
      <c r="S87" s="22"/>
    </row>
    <row r="88" spans="1:19" s="21" customFormat="1" ht="28.5" customHeight="1" x14ac:dyDescent="0.35">
      <c r="A88" s="117"/>
      <c r="B88" s="117"/>
      <c r="C88" s="118"/>
      <c r="D88" s="67" t="s">
        <v>1</v>
      </c>
      <c r="E88" s="54">
        <f t="shared" si="20"/>
        <v>505956.45647999999</v>
      </c>
      <c r="F88" s="54">
        <f t="shared" si="19"/>
        <v>27938.258065000002</v>
      </c>
      <c r="G88" s="54">
        <f t="shared" si="19"/>
        <v>52248.034419999996</v>
      </c>
      <c r="H88" s="54">
        <f t="shared" si="19"/>
        <v>43994.434519999995</v>
      </c>
      <c r="I88" s="54">
        <f t="shared" si="19"/>
        <v>48087.922590000002</v>
      </c>
      <c r="J88" s="54">
        <f t="shared" si="19"/>
        <v>43598.252469999999</v>
      </c>
      <c r="K88" s="54">
        <f t="shared" si="19"/>
        <v>43954.112410000002</v>
      </c>
      <c r="L88" s="54">
        <f t="shared" si="19"/>
        <v>41233.142845000002</v>
      </c>
      <c r="M88" s="54">
        <f t="shared" si="19"/>
        <v>36146.051299999999</v>
      </c>
      <c r="N88" s="54">
        <f t="shared" si="19"/>
        <v>38529.772635000001</v>
      </c>
      <c r="O88" s="54">
        <f t="shared" si="19"/>
        <v>36151.346149999998</v>
      </c>
      <c r="P88" s="80">
        <f t="shared" si="19"/>
        <v>31533.539629999999</v>
      </c>
      <c r="Q88" s="80">
        <f t="shared" si="19"/>
        <v>62541.589444999991</v>
      </c>
      <c r="R88" s="53"/>
    </row>
    <row r="89" spans="1:19" s="21" customFormat="1" ht="52.5" customHeight="1" x14ac:dyDescent="0.35">
      <c r="A89" s="117"/>
      <c r="B89" s="117"/>
      <c r="C89" s="118"/>
      <c r="D89" s="67" t="s">
        <v>2</v>
      </c>
      <c r="E89" s="54">
        <f t="shared" si="20"/>
        <v>0</v>
      </c>
      <c r="F89" s="54">
        <f t="shared" si="19"/>
        <v>0</v>
      </c>
      <c r="G89" s="54">
        <f t="shared" si="19"/>
        <v>0</v>
      </c>
      <c r="H89" s="54">
        <f t="shared" si="19"/>
        <v>0</v>
      </c>
      <c r="I89" s="54">
        <f t="shared" si="19"/>
        <v>0</v>
      </c>
      <c r="J89" s="54">
        <f t="shared" si="19"/>
        <v>0</v>
      </c>
      <c r="K89" s="54">
        <f t="shared" si="19"/>
        <v>0</v>
      </c>
      <c r="L89" s="54">
        <f t="shared" si="19"/>
        <v>0</v>
      </c>
      <c r="M89" s="54">
        <f t="shared" si="19"/>
        <v>0</v>
      </c>
      <c r="N89" s="54">
        <f t="shared" si="19"/>
        <v>0</v>
      </c>
      <c r="O89" s="54">
        <f t="shared" si="19"/>
        <v>0</v>
      </c>
      <c r="P89" s="80">
        <f t="shared" si="19"/>
        <v>0</v>
      </c>
      <c r="Q89" s="80">
        <f t="shared" si="19"/>
        <v>0</v>
      </c>
      <c r="R89" s="53"/>
    </row>
    <row r="90" spans="1:19" s="17" customFormat="1" ht="33.75" customHeight="1" x14ac:dyDescent="0.35">
      <c r="A90" s="117"/>
      <c r="B90" s="117"/>
      <c r="C90" s="118"/>
      <c r="D90" s="67" t="s">
        <v>36</v>
      </c>
      <c r="E90" s="54">
        <f t="shared" si="20"/>
        <v>0</v>
      </c>
      <c r="F90" s="54">
        <f t="shared" si="19"/>
        <v>0</v>
      </c>
      <c r="G90" s="54">
        <f t="shared" si="19"/>
        <v>0</v>
      </c>
      <c r="H90" s="54">
        <f t="shared" si="19"/>
        <v>0</v>
      </c>
      <c r="I90" s="54">
        <f t="shared" si="19"/>
        <v>0</v>
      </c>
      <c r="J90" s="54">
        <f t="shared" si="19"/>
        <v>0</v>
      </c>
      <c r="K90" s="54">
        <f t="shared" si="19"/>
        <v>0</v>
      </c>
      <c r="L90" s="54">
        <f t="shared" si="19"/>
        <v>0</v>
      </c>
      <c r="M90" s="54">
        <f t="shared" si="19"/>
        <v>0</v>
      </c>
      <c r="N90" s="54">
        <f t="shared" si="19"/>
        <v>0</v>
      </c>
      <c r="O90" s="54">
        <f t="shared" si="19"/>
        <v>0</v>
      </c>
      <c r="P90" s="54">
        <f t="shared" si="19"/>
        <v>0</v>
      </c>
      <c r="Q90" s="54">
        <f t="shared" si="19"/>
        <v>0</v>
      </c>
      <c r="R90" s="53"/>
    </row>
    <row r="91" spans="1:19" s="21" customFormat="1" ht="30" customHeight="1" x14ac:dyDescent="0.35">
      <c r="A91" s="117"/>
      <c r="B91" s="117"/>
      <c r="C91" s="118"/>
      <c r="D91" s="67" t="s">
        <v>4</v>
      </c>
      <c r="E91" s="54">
        <f t="shared" si="20"/>
        <v>3988.9740000000002</v>
      </c>
      <c r="F91" s="54">
        <f t="shared" si="19"/>
        <v>0</v>
      </c>
      <c r="G91" s="54">
        <f t="shared" si="19"/>
        <v>0</v>
      </c>
      <c r="H91" s="54">
        <f t="shared" si="19"/>
        <v>0</v>
      </c>
      <c r="I91" s="54">
        <f t="shared" si="19"/>
        <v>0</v>
      </c>
      <c r="J91" s="54">
        <f t="shared" si="19"/>
        <v>0</v>
      </c>
      <c r="K91" s="54">
        <f t="shared" si="19"/>
        <v>0</v>
      </c>
      <c r="L91" s="54">
        <f t="shared" si="19"/>
        <v>0</v>
      </c>
      <c r="M91" s="54">
        <f t="shared" si="19"/>
        <v>0</v>
      </c>
      <c r="N91" s="54">
        <f t="shared" si="19"/>
        <v>0</v>
      </c>
      <c r="O91" s="54">
        <f t="shared" si="19"/>
        <v>0</v>
      </c>
      <c r="P91" s="54">
        <f t="shared" si="19"/>
        <v>0</v>
      </c>
      <c r="Q91" s="54">
        <f t="shared" si="19"/>
        <v>3988.9740000000002</v>
      </c>
      <c r="R91" s="53"/>
    </row>
    <row r="92" spans="1:19" s="21" customFormat="1" ht="30.75" hidden="1" customHeight="1" x14ac:dyDescent="0.35">
      <c r="A92" s="58"/>
      <c r="B92" s="58"/>
      <c r="C92" s="59"/>
      <c r="D92" s="60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/>
    </row>
    <row r="93" spans="1:19" s="63" customFormat="1" ht="45" customHeight="1" x14ac:dyDescent="0.45">
      <c r="B93" s="68"/>
      <c r="C93" s="64"/>
      <c r="N93" s="66"/>
      <c r="R93" s="65"/>
    </row>
    <row r="94" spans="1:19" s="35" customFormat="1" ht="48.75" customHeight="1" x14ac:dyDescent="0.45">
      <c r="B94" s="36" t="s">
        <v>49</v>
      </c>
      <c r="C94" s="36"/>
      <c r="F94" s="35" t="s">
        <v>50</v>
      </c>
      <c r="R94" s="37"/>
    </row>
    <row r="95" spans="1:19" s="35" customFormat="1" ht="57.75" customHeight="1" x14ac:dyDescent="0.45">
      <c r="B95" s="36"/>
      <c r="C95" s="36"/>
      <c r="R95" s="37"/>
    </row>
    <row r="96" spans="1:19" s="35" customFormat="1" ht="30" customHeight="1" x14ac:dyDescent="0.45">
      <c r="B96" s="36" t="s">
        <v>66</v>
      </c>
      <c r="C96" s="36"/>
      <c r="R96" s="37"/>
    </row>
    <row r="97" spans="2:18" s="35" customFormat="1" ht="25.2" x14ac:dyDescent="0.45">
      <c r="B97" s="36" t="s">
        <v>67</v>
      </c>
      <c r="C97" s="36"/>
      <c r="R97" s="37"/>
    </row>
    <row r="100" spans="2:18" x14ac:dyDescent="0.35"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</row>
    <row r="102" spans="2:18" x14ac:dyDescent="0.35">
      <c r="F102" s="71"/>
      <c r="G102" s="71"/>
      <c r="H102" s="71"/>
    </row>
    <row r="103" spans="2:18" x14ac:dyDescent="0.35">
      <c r="E103" s="82"/>
    </row>
    <row r="104" spans="2:18" x14ac:dyDescent="0.35">
      <c r="F104" s="72"/>
    </row>
  </sheetData>
  <mergeCells count="52">
    <mergeCell ref="N12:Q12"/>
    <mergeCell ref="N1:Q1"/>
    <mergeCell ref="N2:Q2"/>
    <mergeCell ref="N3:Q3"/>
    <mergeCell ref="N4:Q4"/>
    <mergeCell ref="N5:Q5"/>
    <mergeCell ref="N6:Q6"/>
    <mergeCell ref="N7:Q7"/>
    <mergeCell ref="N8:Q8"/>
    <mergeCell ref="N9:Q9"/>
    <mergeCell ref="N10:Q10"/>
    <mergeCell ref="N11:Q11"/>
    <mergeCell ref="N13:Q13"/>
    <mergeCell ref="N14:Q14"/>
    <mergeCell ref="A16:Q16"/>
    <mergeCell ref="A17:Q17"/>
    <mergeCell ref="P18:Q18"/>
    <mergeCell ref="F19:Q19"/>
    <mergeCell ref="A22:A28"/>
    <mergeCell ref="B22:B28"/>
    <mergeCell ref="C22:C28"/>
    <mergeCell ref="A29:A35"/>
    <mergeCell ref="B29:B35"/>
    <mergeCell ref="C29:C35"/>
    <mergeCell ref="A19:A20"/>
    <mergeCell ref="B19:B20"/>
    <mergeCell ref="C19:C20"/>
    <mergeCell ref="D19:D20"/>
    <mergeCell ref="E19:E20"/>
    <mergeCell ref="A36:A42"/>
    <mergeCell ref="B36:B42"/>
    <mergeCell ref="C36:C42"/>
    <mergeCell ref="A43:A49"/>
    <mergeCell ref="B43:B49"/>
    <mergeCell ref="C43:C49"/>
    <mergeCell ref="A50:A56"/>
    <mergeCell ref="B50:B56"/>
    <mergeCell ref="C50:C56"/>
    <mergeCell ref="A57:A63"/>
    <mergeCell ref="B57:B63"/>
    <mergeCell ref="C57:C63"/>
    <mergeCell ref="A64:A70"/>
    <mergeCell ref="B64:B70"/>
    <mergeCell ref="C64:C70"/>
    <mergeCell ref="A71:A77"/>
    <mergeCell ref="B71:B77"/>
    <mergeCell ref="C71:C77"/>
    <mergeCell ref="A78:A84"/>
    <mergeCell ref="B78:B84"/>
    <mergeCell ref="C78:C84"/>
    <mergeCell ref="A85:B91"/>
    <mergeCell ref="C85:C91"/>
  </mergeCells>
  <pageMargins left="0.19685039370078741" right="0.27559055118110237" top="0.15748031496062992" bottom="0.15748031496062992" header="0.15748031496062992" footer="0.15748031496062992"/>
  <pageSetup paperSize="9" scale="35" fitToHeight="5" orientation="landscape" r:id="rId1"/>
  <rowBreaks count="1" manualBreakCount="1">
    <brk id="4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комплексный план на 2022 год </vt:lpstr>
      <vt:lpstr>07.2019 с выделением</vt:lpstr>
      <vt:lpstr>07.2019 (2)</vt:lpstr>
      <vt:lpstr>'07.2019 (2)'!Область_печати</vt:lpstr>
      <vt:lpstr>'07.2019 с выделением'!Область_печати</vt:lpstr>
      <vt:lpstr>'комплексный план на 2022 год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2022-04-14T11:03:23Z</dcterms:modified>
</cp:coreProperties>
</file>