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603"/>
  </bookViews>
  <sheets>
    <sheet name="МП 05 по РД 902 от 24.05." sheetId="22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'МП 05 по РД 902 от 24.05.'!$A$11:$Y$167</definedName>
    <definedName name="_xlnm.Print_Area" localSheetId="0">'МП 05 по РД 902 от 24.05.'!$A$1:$Q$173</definedName>
  </definedNames>
  <calcPr calcId="162913" iterate="1"/>
</workbook>
</file>

<file path=xl/calcChain.xml><?xml version="1.0" encoding="utf-8"?>
<calcChain xmlns="http://schemas.openxmlformats.org/spreadsheetml/2006/main">
  <c r="Q120" i="22" l="1"/>
  <c r="P120" i="22"/>
  <c r="O120" i="22"/>
  <c r="H113" i="22" l="1"/>
  <c r="K78" i="22" l="1"/>
  <c r="Q71" i="22" l="1"/>
  <c r="O71" i="22"/>
  <c r="N71" i="22"/>
  <c r="M71" i="22"/>
  <c r="L71" i="22"/>
  <c r="K71" i="22"/>
  <c r="J71" i="22"/>
  <c r="I71" i="22"/>
  <c r="P164" i="22" l="1"/>
  <c r="L164" i="22"/>
  <c r="H164" i="22"/>
  <c r="Q163" i="22"/>
  <c r="M163" i="22"/>
  <c r="I163" i="22"/>
  <c r="E158" i="22"/>
  <c r="E157" i="22"/>
  <c r="E156" i="22"/>
  <c r="E155" i="22"/>
  <c r="E152" i="22" s="1"/>
  <c r="E154" i="22"/>
  <c r="E153" i="22"/>
  <c r="Q152" i="22"/>
  <c r="P152" i="22"/>
  <c r="O152" i="22"/>
  <c r="N152" i="22"/>
  <c r="M152" i="22"/>
  <c r="L152" i="22"/>
  <c r="K152" i="22"/>
  <c r="J152" i="22"/>
  <c r="I152" i="22"/>
  <c r="H152" i="22"/>
  <c r="G152" i="22"/>
  <c r="F152" i="22"/>
  <c r="Q151" i="22"/>
  <c r="E151" i="22" s="1"/>
  <c r="E150" i="22"/>
  <c r="E149" i="22"/>
  <c r="E148" i="22"/>
  <c r="E145" i="22" s="1"/>
  <c r="E147" i="22"/>
  <c r="E146" i="22"/>
  <c r="P145" i="22"/>
  <c r="O145" i="22"/>
  <c r="N145" i="22"/>
  <c r="M145" i="22"/>
  <c r="L145" i="22"/>
  <c r="K145" i="22"/>
  <c r="J145" i="22"/>
  <c r="I145" i="22"/>
  <c r="H145" i="22"/>
  <c r="G145" i="22"/>
  <c r="F145" i="22"/>
  <c r="Q144" i="22"/>
  <c r="E144" i="22" s="1"/>
  <c r="E143" i="22"/>
  <c r="E142" i="22"/>
  <c r="O141" i="22"/>
  <c r="O138" i="22" s="1"/>
  <c r="J141" i="22"/>
  <c r="I141" i="22"/>
  <c r="H141" i="22"/>
  <c r="G141" i="22"/>
  <c r="E141" i="22" s="1"/>
  <c r="E138" i="22" s="1"/>
  <c r="E140" i="22"/>
  <c r="P138" i="22"/>
  <c r="N138" i="22"/>
  <c r="M138" i="22"/>
  <c r="L138" i="22"/>
  <c r="K138" i="22"/>
  <c r="J138" i="22"/>
  <c r="I138" i="22"/>
  <c r="H138" i="22"/>
  <c r="F138" i="22"/>
  <c r="Q137" i="22"/>
  <c r="P137" i="22"/>
  <c r="O137" i="22"/>
  <c r="N137" i="22"/>
  <c r="M137" i="22"/>
  <c r="L137" i="22"/>
  <c r="K137" i="22"/>
  <c r="J137" i="22"/>
  <c r="I137" i="22"/>
  <c r="H137" i="22"/>
  <c r="G137" i="22"/>
  <c r="F137" i="22"/>
  <c r="E137" i="22"/>
  <c r="E136" i="22"/>
  <c r="E135" i="22"/>
  <c r="Q134" i="22"/>
  <c r="P134" i="22"/>
  <c r="P131" i="22" s="1"/>
  <c r="N134" i="22"/>
  <c r="M134" i="22"/>
  <c r="L134" i="22"/>
  <c r="L131" i="22" s="1"/>
  <c r="K134" i="22"/>
  <c r="J134" i="22"/>
  <c r="I134" i="22"/>
  <c r="H134" i="22"/>
  <c r="H131" i="22" s="1"/>
  <c r="F134" i="22"/>
  <c r="Q133" i="22"/>
  <c r="Q131" i="22" s="1"/>
  <c r="P133" i="22"/>
  <c r="O133" i="22"/>
  <c r="N133" i="22"/>
  <c r="M133" i="22"/>
  <c r="M131" i="22" s="1"/>
  <c r="L133" i="22"/>
  <c r="K133" i="22"/>
  <c r="J133" i="22"/>
  <c r="I133" i="22"/>
  <c r="I131" i="22" s="1"/>
  <c r="H133" i="22"/>
  <c r="G133" i="22"/>
  <c r="F133" i="22"/>
  <c r="E133" i="22"/>
  <c r="Q132" i="22"/>
  <c r="P132" i="22"/>
  <c r="O132" i="22"/>
  <c r="N132" i="22"/>
  <c r="N131" i="22" s="1"/>
  <c r="M132" i="22"/>
  <c r="L132" i="22"/>
  <c r="K132" i="22"/>
  <c r="J132" i="22"/>
  <c r="J131" i="22" s="1"/>
  <c r="I132" i="22"/>
  <c r="H132" i="22"/>
  <c r="G132" i="22"/>
  <c r="F132" i="22"/>
  <c r="E132" i="22" s="1"/>
  <c r="K131" i="22"/>
  <c r="E130" i="22"/>
  <c r="E129" i="22"/>
  <c r="E128" i="22"/>
  <c r="Q127" i="22"/>
  <c r="P127" i="22"/>
  <c r="O127" i="22"/>
  <c r="O106" i="22" s="1"/>
  <c r="N127" i="22"/>
  <c r="J127" i="22"/>
  <c r="I127" i="22"/>
  <c r="H127" i="22"/>
  <c r="H106" i="22" s="1"/>
  <c r="G127" i="22"/>
  <c r="F127" i="22"/>
  <c r="E127" i="22" s="1"/>
  <c r="E126" i="22"/>
  <c r="E124" i="22" s="1"/>
  <c r="E125" i="22"/>
  <c r="Q124" i="22"/>
  <c r="P124" i="22"/>
  <c r="O124" i="22"/>
  <c r="O103" i="22" s="1"/>
  <c r="N124" i="22"/>
  <c r="M124" i="22"/>
  <c r="L124" i="22"/>
  <c r="K124" i="22"/>
  <c r="K103" i="22" s="1"/>
  <c r="J124" i="22"/>
  <c r="I124" i="22"/>
  <c r="G124" i="22"/>
  <c r="G103" i="22" s="1"/>
  <c r="F124" i="22"/>
  <c r="Q123" i="22"/>
  <c r="E123" i="22"/>
  <c r="E122" i="22"/>
  <c r="E121" i="22"/>
  <c r="L120" i="22"/>
  <c r="L106" i="22" s="1"/>
  <c r="K120" i="22"/>
  <c r="J120" i="22"/>
  <c r="I120" i="22"/>
  <c r="E120" i="22"/>
  <c r="E117" i="22" s="1"/>
  <c r="E119" i="22"/>
  <c r="E118" i="22"/>
  <c r="Q117" i="22"/>
  <c r="P117" i="22"/>
  <c r="P103" i="22" s="1"/>
  <c r="O117" i="22"/>
  <c r="N117" i="22"/>
  <c r="M117" i="22"/>
  <c r="L117" i="22"/>
  <c r="L103" i="22" s="1"/>
  <c r="K117" i="22"/>
  <c r="J117" i="22"/>
  <c r="I117" i="22"/>
  <c r="H117" i="22"/>
  <c r="G117" i="22"/>
  <c r="F117" i="22"/>
  <c r="Q116" i="22"/>
  <c r="E116" i="22" s="1"/>
  <c r="E115" i="22"/>
  <c r="E114" i="22"/>
  <c r="E113" i="22"/>
  <c r="P110" i="22"/>
  <c r="O110" i="22"/>
  <c r="N110" i="22"/>
  <c r="N103" i="22" s="1"/>
  <c r="M110" i="22"/>
  <c r="L110" i="22"/>
  <c r="K110" i="22"/>
  <c r="J110" i="22"/>
  <c r="J103" i="22" s="1"/>
  <c r="I110" i="22"/>
  <c r="H110" i="22"/>
  <c r="G110" i="22"/>
  <c r="F110" i="22"/>
  <c r="F103" i="22" s="1"/>
  <c r="P109" i="22"/>
  <c r="O109" i="22"/>
  <c r="O165" i="22" s="1"/>
  <c r="N109" i="22"/>
  <c r="M109" i="22"/>
  <c r="L109" i="22"/>
  <c r="K109" i="22"/>
  <c r="K165" i="22" s="1"/>
  <c r="J109" i="22"/>
  <c r="I109" i="22"/>
  <c r="H109" i="22"/>
  <c r="G109" i="22"/>
  <c r="G165" i="22" s="1"/>
  <c r="F109" i="22"/>
  <c r="E108" i="22"/>
  <c r="E107" i="22"/>
  <c r="Q106" i="22"/>
  <c r="P106" i="22"/>
  <c r="N106" i="22"/>
  <c r="M106" i="22"/>
  <c r="K106" i="22"/>
  <c r="J106" i="22"/>
  <c r="I106" i="22"/>
  <c r="G106" i="22"/>
  <c r="F106" i="22"/>
  <c r="Q105" i="22"/>
  <c r="P105" i="22"/>
  <c r="O105" i="22"/>
  <c r="O161" i="22" s="1"/>
  <c r="N105" i="22"/>
  <c r="M105" i="22"/>
  <c r="L105" i="22"/>
  <c r="K105" i="22"/>
  <c r="K161" i="22" s="1"/>
  <c r="J105" i="22"/>
  <c r="I105" i="22"/>
  <c r="H105" i="22"/>
  <c r="G105" i="22"/>
  <c r="G161" i="22" s="1"/>
  <c r="F105" i="22"/>
  <c r="E105" i="22" s="1"/>
  <c r="Q104" i="22"/>
  <c r="P104" i="22"/>
  <c r="P160" i="22" s="1"/>
  <c r="O104" i="22"/>
  <c r="N104" i="22"/>
  <c r="M104" i="22"/>
  <c r="L104" i="22"/>
  <c r="L160" i="22" s="1"/>
  <c r="K104" i="22"/>
  <c r="J104" i="22"/>
  <c r="I104" i="22"/>
  <c r="H104" i="22"/>
  <c r="H160" i="22" s="1"/>
  <c r="G104" i="22"/>
  <c r="F104" i="22"/>
  <c r="E104" i="22" s="1"/>
  <c r="M103" i="22"/>
  <c r="I103" i="22"/>
  <c r="E102" i="22"/>
  <c r="E101" i="22"/>
  <c r="E100" i="22"/>
  <c r="E99" i="22"/>
  <c r="E96" i="22" s="1"/>
  <c r="E98" i="22"/>
  <c r="E97" i="22"/>
  <c r="Q96" i="22"/>
  <c r="P96" i="22"/>
  <c r="O96" i="22"/>
  <c r="N96" i="22"/>
  <c r="M96" i="22"/>
  <c r="L96" i="22"/>
  <c r="K96" i="22"/>
  <c r="J96" i="22"/>
  <c r="I96" i="22"/>
  <c r="H96" i="22"/>
  <c r="G96" i="22"/>
  <c r="F96" i="22"/>
  <c r="E94" i="22"/>
  <c r="E93" i="22"/>
  <c r="E92" i="22"/>
  <c r="E91" i="22"/>
  <c r="E90" i="22"/>
  <c r="E89" i="22" s="1"/>
  <c r="Q89" i="22"/>
  <c r="P89" i="22"/>
  <c r="O89" i="22"/>
  <c r="N89" i="22"/>
  <c r="M89" i="22"/>
  <c r="L89" i="22"/>
  <c r="K89" i="22"/>
  <c r="J89" i="22"/>
  <c r="I89" i="22"/>
  <c r="H89" i="22"/>
  <c r="G89" i="22"/>
  <c r="F89" i="22"/>
  <c r="Q88" i="22"/>
  <c r="E88" i="22" s="1"/>
  <c r="E87" i="22"/>
  <c r="E86" i="22"/>
  <c r="P85" i="22"/>
  <c r="O85" i="22"/>
  <c r="N85" i="22"/>
  <c r="N82" i="22" s="1"/>
  <c r="M85" i="22"/>
  <c r="L85" i="22"/>
  <c r="J85" i="22"/>
  <c r="I85" i="22"/>
  <c r="I82" i="22" s="1"/>
  <c r="H85" i="22"/>
  <c r="G85" i="22"/>
  <c r="F85" i="22"/>
  <c r="E84" i="22"/>
  <c r="E83" i="22"/>
  <c r="Q82" i="22"/>
  <c r="P82" i="22"/>
  <c r="O82" i="22"/>
  <c r="M82" i="22"/>
  <c r="L82" i="22"/>
  <c r="K82" i="22"/>
  <c r="J82" i="22"/>
  <c r="H82" i="22"/>
  <c r="G82" i="22"/>
  <c r="F82" i="22"/>
  <c r="Q81" i="22"/>
  <c r="E81" i="22" s="1"/>
  <c r="E80" i="22"/>
  <c r="E79" i="22"/>
  <c r="P78" i="22"/>
  <c r="L78" i="22"/>
  <c r="I78" i="22"/>
  <c r="G78" i="22"/>
  <c r="E78" i="22"/>
  <c r="E77" i="22"/>
  <c r="E76" i="22"/>
  <c r="P75" i="22"/>
  <c r="O75" i="22"/>
  <c r="N75" i="22"/>
  <c r="M75" i="22"/>
  <c r="L75" i="22"/>
  <c r="K75" i="22"/>
  <c r="J75" i="22"/>
  <c r="I75" i="22"/>
  <c r="H75" i="22"/>
  <c r="G75" i="22"/>
  <c r="F75" i="22"/>
  <c r="Q74" i="22"/>
  <c r="E74" i="22" s="1"/>
  <c r="E73" i="22"/>
  <c r="E72" i="22"/>
  <c r="P71" i="22"/>
  <c r="H71" i="22"/>
  <c r="E71" i="22"/>
  <c r="E70" i="22"/>
  <c r="E69" i="22"/>
  <c r="P68" i="22"/>
  <c r="O68" i="22"/>
  <c r="N68" i="22"/>
  <c r="M68" i="22"/>
  <c r="L68" i="22"/>
  <c r="K68" i="22"/>
  <c r="J68" i="22"/>
  <c r="I68" i="22"/>
  <c r="H68" i="22"/>
  <c r="G68" i="22"/>
  <c r="F68" i="22"/>
  <c r="Q67" i="22"/>
  <c r="P67" i="22"/>
  <c r="O67" i="22"/>
  <c r="N67" i="22"/>
  <c r="M67" i="22"/>
  <c r="L67" i="22"/>
  <c r="K67" i="22"/>
  <c r="J67" i="22"/>
  <c r="I67" i="22"/>
  <c r="E67" i="22" s="1"/>
  <c r="H67" i="22"/>
  <c r="G67" i="22"/>
  <c r="F67" i="22"/>
  <c r="Q66" i="22"/>
  <c r="P66" i="22"/>
  <c r="O66" i="22"/>
  <c r="N66" i="22"/>
  <c r="M66" i="22"/>
  <c r="L66" i="22"/>
  <c r="K66" i="22"/>
  <c r="J66" i="22"/>
  <c r="I66" i="22"/>
  <c r="H66" i="22"/>
  <c r="G66" i="22"/>
  <c r="F66" i="22"/>
  <c r="E66" i="22" s="1"/>
  <c r="Q65" i="22"/>
  <c r="P65" i="22"/>
  <c r="O65" i="22"/>
  <c r="N65" i="22"/>
  <c r="M65" i="22"/>
  <c r="L65" i="22"/>
  <c r="K65" i="22"/>
  <c r="J65" i="22"/>
  <c r="I65" i="22"/>
  <c r="H65" i="22"/>
  <c r="G65" i="22"/>
  <c r="E65" i="22" s="1"/>
  <c r="F65" i="22"/>
  <c r="Q64" i="22"/>
  <c r="P64" i="22"/>
  <c r="P61" i="22" s="1"/>
  <c r="O64" i="22"/>
  <c r="O61" i="22" s="1"/>
  <c r="M64" i="22"/>
  <c r="L64" i="22"/>
  <c r="L61" i="22" s="1"/>
  <c r="K64" i="22"/>
  <c r="K61" i="22" s="1"/>
  <c r="J64" i="22"/>
  <c r="H64" i="22"/>
  <c r="H61" i="22" s="1"/>
  <c r="G64" i="22"/>
  <c r="F64" i="22"/>
  <c r="Q63" i="22"/>
  <c r="P63" i="22"/>
  <c r="O63" i="22"/>
  <c r="N63" i="22"/>
  <c r="M63" i="22"/>
  <c r="M61" i="22" s="1"/>
  <c r="L63" i="22"/>
  <c r="K63" i="22"/>
  <c r="J63" i="22"/>
  <c r="I63" i="22"/>
  <c r="H63" i="22"/>
  <c r="G63" i="22"/>
  <c r="F63" i="22"/>
  <c r="E63" i="22"/>
  <c r="Q62" i="22"/>
  <c r="P62" i="22"/>
  <c r="O62" i="22"/>
  <c r="N62" i="22"/>
  <c r="M62" i="22"/>
  <c r="L62" i="22"/>
  <c r="K62" i="22"/>
  <c r="J62" i="22"/>
  <c r="J61" i="22" s="1"/>
  <c r="I62" i="22"/>
  <c r="H62" i="22"/>
  <c r="G62" i="22"/>
  <c r="F62" i="22"/>
  <c r="E62" i="22" s="1"/>
  <c r="G61" i="22"/>
  <c r="Q60" i="22"/>
  <c r="E60" i="22"/>
  <c r="E59" i="22"/>
  <c r="E58" i="22"/>
  <c r="E57" i="22"/>
  <c r="E56" i="22"/>
  <c r="E54" i="22" s="1"/>
  <c r="E55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Q53" i="22"/>
  <c r="E53" i="22"/>
  <c r="E52" i="22"/>
  <c r="E51" i="22"/>
  <c r="E50" i="22"/>
  <c r="E49" i="22"/>
  <c r="E47" i="22" s="1"/>
  <c r="E48" i="22"/>
  <c r="Q47" i="22"/>
  <c r="P47" i="22"/>
  <c r="O47" i="22"/>
  <c r="O40" i="22" s="1"/>
  <c r="N47" i="22"/>
  <c r="M47" i="22"/>
  <c r="L47" i="22"/>
  <c r="K47" i="22"/>
  <c r="K40" i="22" s="1"/>
  <c r="J47" i="22"/>
  <c r="I47" i="22"/>
  <c r="H47" i="22"/>
  <c r="G47" i="22"/>
  <c r="G40" i="22" s="1"/>
  <c r="F47" i="22"/>
  <c r="Q46" i="22"/>
  <c r="P46" i="22"/>
  <c r="P165" i="22" s="1"/>
  <c r="O46" i="22"/>
  <c r="N46" i="22"/>
  <c r="N165" i="22" s="1"/>
  <c r="M46" i="22"/>
  <c r="M165" i="22" s="1"/>
  <c r="L46" i="22"/>
  <c r="L165" i="22" s="1"/>
  <c r="K46" i="22"/>
  <c r="J46" i="22"/>
  <c r="J165" i="22" s="1"/>
  <c r="I46" i="22"/>
  <c r="I165" i="22" s="1"/>
  <c r="H46" i="22"/>
  <c r="H165" i="22" s="1"/>
  <c r="G46" i="22"/>
  <c r="F46" i="22"/>
  <c r="F165" i="22" s="1"/>
  <c r="Q45" i="22"/>
  <c r="Q164" i="22" s="1"/>
  <c r="P45" i="22"/>
  <c r="O45" i="22"/>
  <c r="O164" i="22" s="1"/>
  <c r="N45" i="22"/>
  <c r="N164" i="22" s="1"/>
  <c r="M45" i="22"/>
  <c r="M164" i="22" s="1"/>
  <c r="L45" i="22"/>
  <c r="K45" i="22"/>
  <c r="K164" i="22" s="1"/>
  <c r="J45" i="22"/>
  <c r="J164" i="22" s="1"/>
  <c r="I45" i="22"/>
  <c r="I164" i="22" s="1"/>
  <c r="H45" i="22"/>
  <c r="G45" i="22"/>
  <c r="G164" i="22" s="1"/>
  <c r="F45" i="22"/>
  <c r="F164" i="22" s="1"/>
  <c r="E164" i="22" s="1"/>
  <c r="E45" i="22"/>
  <c r="Q44" i="22"/>
  <c r="P44" i="22"/>
  <c r="P163" i="22" s="1"/>
  <c r="O44" i="22"/>
  <c r="O163" i="22" s="1"/>
  <c r="N44" i="22"/>
  <c r="N163" i="22" s="1"/>
  <c r="M44" i="22"/>
  <c r="L44" i="22"/>
  <c r="L163" i="22" s="1"/>
  <c r="K44" i="22"/>
  <c r="K163" i="22" s="1"/>
  <c r="J44" i="22"/>
  <c r="J163" i="22" s="1"/>
  <c r="I44" i="22"/>
  <c r="H44" i="22"/>
  <c r="H163" i="22" s="1"/>
  <c r="G44" i="22"/>
  <c r="G163" i="22" s="1"/>
  <c r="F44" i="22"/>
  <c r="E44" i="22" s="1"/>
  <c r="Q43" i="22"/>
  <c r="P43" i="22"/>
  <c r="O43" i="22"/>
  <c r="N43" i="22"/>
  <c r="M43" i="22"/>
  <c r="M162" i="22" s="1"/>
  <c r="L43" i="22"/>
  <c r="L162" i="22" s="1"/>
  <c r="K43" i="22"/>
  <c r="J43" i="22"/>
  <c r="I43" i="22"/>
  <c r="H43" i="22"/>
  <c r="G43" i="22"/>
  <c r="E43" i="22" s="1"/>
  <c r="F43" i="22"/>
  <c r="Q42" i="22"/>
  <c r="Q161" i="22" s="1"/>
  <c r="P42" i="22"/>
  <c r="P161" i="22" s="1"/>
  <c r="O42" i="22"/>
  <c r="N42" i="22"/>
  <c r="N161" i="22" s="1"/>
  <c r="M42" i="22"/>
  <c r="M161" i="22" s="1"/>
  <c r="L42" i="22"/>
  <c r="L161" i="22" s="1"/>
  <c r="K42" i="22"/>
  <c r="J42" i="22"/>
  <c r="J161" i="22" s="1"/>
  <c r="I42" i="22"/>
  <c r="I161" i="22" s="1"/>
  <c r="H42" i="22"/>
  <c r="H161" i="22" s="1"/>
  <c r="G42" i="22"/>
  <c r="F42" i="22"/>
  <c r="F161" i="22" s="1"/>
  <c r="Q41" i="22"/>
  <c r="Q160" i="22" s="1"/>
  <c r="P41" i="22"/>
  <c r="O41" i="22"/>
  <c r="O160" i="22" s="1"/>
  <c r="N41" i="22"/>
  <c r="N160" i="22" s="1"/>
  <c r="M41" i="22"/>
  <c r="M160" i="22" s="1"/>
  <c r="M159" i="22" s="1"/>
  <c r="L41" i="22"/>
  <c r="K41" i="22"/>
  <c r="K160" i="22" s="1"/>
  <c r="J41" i="22"/>
  <c r="J160" i="22" s="1"/>
  <c r="I41" i="22"/>
  <c r="I160" i="22" s="1"/>
  <c r="H41" i="22"/>
  <c r="G41" i="22"/>
  <c r="G160" i="22" s="1"/>
  <c r="F41" i="22"/>
  <c r="F160" i="22" s="1"/>
  <c r="E41" i="22"/>
  <c r="Q40" i="22"/>
  <c r="P40" i="22"/>
  <c r="N40" i="22"/>
  <c r="M40" i="22"/>
  <c r="L40" i="22"/>
  <c r="J40" i="22"/>
  <c r="I40" i="22"/>
  <c r="H40" i="22"/>
  <c r="F40" i="22"/>
  <c r="E39" i="22"/>
  <c r="E38" i="22"/>
  <c r="E37" i="22"/>
  <c r="N36" i="22"/>
  <c r="E36" i="22"/>
  <c r="E35" i="22"/>
  <c r="E34" i="22"/>
  <c r="E33" i="22" s="1"/>
  <c r="Q33" i="22"/>
  <c r="P33" i="22"/>
  <c r="O33" i="22"/>
  <c r="N33" i="22"/>
  <c r="M33" i="22"/>
  <c r="L33" i="22"/>
  <c r="K33" i="22"/>
  <c r="J33" i="22"/>
  <c r="I33" i="22"/>
  <c r="H33" i="22"/>
  <c r="G33" i="22"/>
  <c r="F33" i="22"/>
  <c r="E26" i="22"/>
  <c r="Q25" i="22"/>
  <c r="E25" i="22"/>
  <c r="E24" i="22"/>
  <c r="E23" i="22"/>
  <c r="J22" i="22"/>
  <c r="I22" i="22"/>
  <c r="H22" i="22"/>
  <c r="G22" i="22"/>
  <c r="E21" i="22"/>
  <c r="E20" i="22"/>
  <c r="Q19" i="22"/>
  <c r="P19" i="22"/>
  <c r="O19" i="22"/>
  <c r="N19" i="22"/>
  <c r="M19" i="22"/>
  <c r="L19" i="22"/>
  <c r="K19" i="22"/>
  <c r="J19" i="22"/>
  <c r="H19" i="22"/>
  <c r="G19" i="22"/>
  <c r="F19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P162" i="22" l="1"/>
  <c r="E106" i="22"/>
  <c r="Q162" i="22"/>
  <c r="Q61" i="22"/>
  <c r="K162" i="22"/>
  <c r="K159" i="22" s="1"/>
  <c r="J162" i="22"/>
  <c r="E68" i="22"/>
  <c r="E110" i="22"/>
  <c r="H162" i="22"/>
  <c r="H159" i="22" s="1"/>
  <c r="E40" i="22"/>
  <c r="E75" i="22"/>
  <c r="L159" i="22"/>
  <c r="P159" i="22"/>
  <c r="G162" i="22"/>
  <c r="G159" i="22" s="1"/>
  <c r="I162" i="22"/>
  <c r="I159" i="22" s="1"/>
  <c r="E160" i="22"/>
  <c r="J159" i="22"/>
  <c r="N159" i="22"/>
  <c r="E161" i="22"/>
  <c r="E22" i="22"/>
  <c r="E19" i="22" s="1"/>
  <c r="E42" i="22"/>
  <c r="E46" i="22"/>
  <c r="I64" i="22"/>
  <c r="E64" i="22" s="1"/>
  <c r="E61" i="22" s="1"/>
  <c r="Q68" i="22"/>
  <c r="Q75" i="22"/>
  <c r="H124" i="22"/>
  <c r="H103" i="22" s="1"/>
  <c r="Q138" i="22"/>
  <c r="Q145" i="22"/>
  <c r="F163" i="22"/>
  <c r="E163" i="22" s="1"/>
  <c r="E85" i="22"/>
  <c r="E82" i="22" s="1"/>
  <c r="F162" i="22"/>
  <c r="I19" i="22"/>
  <c r="N64" i="22"/>
  <c r="N162" i="22" s="1"/>
  <c r="Q109" i="22"/>
  <c r="E109" i="22" s="1"/>
  <c r="E103" i="22" s="1"/>
  <c r="F61" i="22"/>
  <c r="Q110" i="22"/>
  <c r="Q103" i="22" s="1"/>
  <c r="F131" i="22"/>
  <c r="G134" i="22"/>
  <c r="G131" i="22" s="1"/>
  <c r="O134" i="22"/>
  <c r="O131" i="22" s="1"/>
  <c r="G138" i="22"/>
  <c r="I61" i="22" l="1"/>
  <c r="Q165" i="22"/>
  <c r="E134" i="22"/>
  <c r="E131" i="22" s="1"/>
  <c r="F159" i="22"/>
  <c r="N61" i="22"/>
  <c r="O162" i="22"/>
  <c r="O159" i="22" s="1"/>
  <c r="E165" i="22" l="1"/>
  <c r="Q159" i="22"/>
  <c r="E162" i="22"/>
  <c r="E159" i="22" l="1"/>
</calcChain>
</file>

<file path=xl/sharedStrings.xml><?xml version="1.0" encoding="utf-8"?>
<sst xmlns="http://schemas.openxmlformats.org/spreadsheetml/2006/main" count="247" uniqueCount="93">
  <si>
    <t>СОГЛАСОВАНО</t>
  </si>
  <si>
    <t>(куратор ответственного исполнителя)</t>
  </si>
  <si>
    <t xml:space="preserve">КОМПЛЕКСНЫЙ ПЛАН </t>
  </si>
  <si>
    <t>тыс.рублей</t>
  </si>
  <si>
    <t xml:space="preserve">№ </t>
  </si>
  <si>
    <t>Наименование мероприятия</t>
  </si>
  <si>
    <t>Ответственный исполнитель, соисполнитель мероприятия
( структурное подразделение, ФИО, должность,
 № тел.)</t>
  </si>
  <si>
    <t>Источник финансирования</t>
  </si>
  <si>
    <t>всего</t>
  </si>
  <si>
    <t>Финансовые затраты на реализацию муниципальной программы
(планируемое освоение)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</si>
  <si>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</si>
  <si>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</si>
  <si>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</si>
  <si>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</si>
  <si>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</si>
  <si>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</si>
  <si>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</si>
  <si>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</si>
  <si>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</si>
  <si>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</si>
  <si>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</si>
  <si>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</si>
  <si>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Департамент культуры и спорта Нефтеюганского района</t>
  </si>
  <si>
    <t>ФБ</t>
  </si>
  <si>
    <t>БАО</t>
  </si>
  <si>
    <t>МБ</t>
  </si>
  <si>
    <t>средства по Соглашениям по передаче полномочий*</t>
  </si>
  <si>
    <t>средства поселений *</t>
  </si>
  <si>
    <t>иные источники*</t>
  </si>
  <si>
    <t>Развитие материально-технической базы учреждений спорта</t>
  </si>
  <si>
    <t>Департамент культуры и спорта Нефтеюганского района/ МКУ "Управление по обеспечению деятельности учреждений культуры и спорта"</t>
  </si>
  <si>
    <t>Обеспечение деятельности (оказание услуг) организация занятий физической культурой и спортом</t>
  </si>
  <si>
    <t>Департамент строительства и жилищно-коммунального комплекса Нефтеюганского района/МКУ «Управление капитального строительства и жилищно-коммунального комплекса Нефтеюганского района»</t>
  </si>
  <si>
    <t xml:space="preserve"> Проведение районных комплексных спортивно-массовых мероприятий,  участие в окружных, региональных, всероссийских и международных соревнованиях в соответствии с календарным планом</t>
  </si>
  <si>
    <t>федеральный бюджет</t>
  </si>
  <si>
    <t>бюджет автономного округа</t>
  </si>
  <si>
    <t>Департамент культуры и спорта Нефтеюганского района, А.Е.Моисеенко,председатель комитета ФКиС, 278107</t>
  </si>
  <si>
    <t>Всего по муниципальной программе</t>
  </si>
  <si>
    <t>* заполняется при наличии информации в таблице 2</t>
  </si>
  <si>
    <t>(подпись)</t>
  </si>
  <si>
    <t>Н.В.Шорина</t>
  </si>
  <si>
    <t>БУНР ФСО "Атлант",  Д.А.Кухаренко-директор,              27-80-12</t>
  </si>
  <si>
    <t>БУНР ФСО "Атлант",                     Д.А.Кухаренко-директор,              27-80-12</t>
  </si>
  <si>
    <t xml:space="preserve">Основное мероприятие 3.1   "Единовременное денежное вознаграждение спортсменам (победителям и призерам), их личным тренерам, присвоение спортивных разрядов, квалификационных категорий спортивных судей"  </t>
  </si>
  <si>
    <t>Департамент культуры и спорта Нефтеюганского района, Департамент строительства и жилищно-коммунального комплекса Нефтеюганского района</t>
  </si>
  <si>
    <t>Департамент культуры и спорта Нефтеюганского района
БУНР ФСО "Атлант", Д.А.Кухаренко-директор,              27-80-12</t>
  </si>
  <si>
    <t>Департамент строительства и жилищно-коммунального комплекса Нефтеюганского района
МКУ «Управление капитального строительства и жилищно-коммунального комплекса», С.М. Бабин, директор, тел.: 250-274</t>
  </si>
  <si>
    <t>Региональный проект "Спорт-норма жизни"</t>
  </si>
  <si>
    <t>Проект Нефтеюганского района "Крепкое здоровье-крепкий район."</t>
  </si>
  <si>
    <t>1.1.</t>
  </si>
  <si>
    <t>1.2.</t>
  </si>
  <si>
    <t>1.3.</t>
  </si>
  <si>
    <t xml:space="preserve">Основное мероприятие "Предоставление субсидий бюджетным, автономным учреждениям и иным некоммерческим организациям " </t>
  </si>
  <si>
    <t xml:space="preserve">Основное мероприятие  "Укрепление материально-технической базы учреждений спорта" </t>
  </si>
  <si>
    <t>1.4.</t>
  </si>
  <si>
    <t>1.4.2.</t>
  </si>
  <si>
    <t>1.4.1.</t>
  </si>
  <si>
    <t xml:space="preserve">Основное мероприятие "Обеспечение деятельности (оказание услуг) организация занятий физической культурой и спортом" </t>
  </si>
  <si>
    <t>1.5.</t>
  </si>
  <si>
    <t>1.5.1.</t>
  </si>
  <si>
    <t>1.5.2.</t>
  </si>
  <si>
    <t>1.6.</t>
  </si>
  <si>
    <t>Основное мероприятие  "Развитие сети шаговой доступности"</t>
  </si>
  <si>
    <t>1.7.</t>
  </si>
  <si>
    <t>Основное мероприятие    «Развитие инфраструктуры для занятий физической культурой и массовым спортом»</t>
  </si>
  <si>
    <t>3.1.</t>
  </si>
  <si>
    <t>2.1.</t>
  </si>
  <si>
    <t xml:space="preserve">Основное мероприятие: "Обеспечение деятельности (оказание услуг)  по  организации дополнительного образования детей и спортивной подготовки" </t>
  </si>
  <si>
    <t xml:space="preserve">Департамент культуры и спорта Нефтеюганского района (НРБУ СШ "Нептун",В.А.Сахарчук-директор, 21-11-31)                   </t>
  </si>
  <si>
    <t>2.1.2.</t>
  </si>
  <si>
    <t>2.1.3.</t>
  </si>
  <si>
    <t>2.2.</t>
  </si>
  <si>
    <t xml:space="preserve">Основное мероприятие:          "Укрепление материально-технической базы учреждений спорта"  </t>
  </si>
  <si>
    <t>2.2.2.</t>
  </si>
  <si>
    <t>2.2.1.</t>
  </si>
  <si>
    <t xml:space="preserve">Департамент культуры и спорта Нефтеюганского района,
НРБУ СШ "Нептун",В.А.Сахарчук-директор, 21-11-31   </t>
  </si>
  <si>
    <t>Основное мероприятие "Обеспечение деятельности (оказание услуг) по организации дополнительного образования детей и спортивной подготовке"</t>
  </si>
  <si>
    <t>МКУ "Управление по обеспечению деятельности учреждений культуры и спорта", Х.С.Шишкина, директор,
 тел.: 319452</t>
  </si>
  <si>
    <t>Основное мероприятие "Участие в окружных, региональных, всероссийских и международных соревнованиях в соответствии с календарным планом"</t>
  </si>
  <si>
    <t xml:space="preserve">Основное мероприятие:          "Укрепление материально-технической базы учреждений спорта" </t>
  </si>
  <si>
    <t>В.Г.Михалев</t>
  </si>
  <si>
    <r>
      <t xml:space="preserve">к муниципальной программе Нефтеюганского района "Развитие физической культуры и спорта" на </t>
    </r>
    <r>
      <rPr>
        <b/>
        <sz val="12"/>
        <rFont val="Times New Roman"/>
        <family val="1"/>
        <charset val="204"/>
      </rPr>
      <t>2023 год</t>
    </r>
  </si>
  <si>
    <t>Директор департамента культуры и спорта</t>
  </si>
  <si>
    <t>А.Ю.Андреевский</t>
  </si>
  <si>
    <t xml:space="preserve">Исполнитель: заместитель начальника отдела аналитической
и проектно-программной деятельности Департамента культуры и спорта
</t>
  </si>
  <si>
    <t>Строительство физкультурно-оздоровительных комплексов, объектов физической культуры и спорта (ФОК сп.Каркатеевы)
Благоустройство Лыжной бызы (гп.Пойковский)</t>
  </si>
  <si>
    <t>средства по Соглашениям по передаче полномочий *</t>
  </si>
  <si>
    <t>средства поселений **</t>
  </si>
  <si>
    <t>иные источники***</t>
  </si>
  <si>
    <t>Проект Нефтеюганского района «Лыжероллерная трасса сп. Каркатеевы»</t>
  </si>
  <si>
    <t>Заместитель Главы района</t>
  </si>
  <si>
    <t>25 мая 2023 года</t>
  </si>
  <si>
    <t>телефон: 8 (3463)316414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</si>
</sst>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\ _₽_-;\-* #,##0.00\ _₽_-;_-* &quot;-&quot;??\ _₽_-;_-@_-"/>
    <numFmt numFmtId="164" formatCode="_-* #,##0.0_р_._-;\-* #,##0.0_р_._-;_-* &quot;-&quot;?_р_._-;_-@_-"/>
    <numFmt numFmtId="165" formatCode="_-* #,##0.00000_р_._-;\-* #,##0.00000_р_._-;_-* &quot;-&quot;?????_р_._-;_-@_-"/>
    <numFmt numFmtId="166" formatCode="_-* #,##0.00_р_._-;\-* #,##0.00_р_._-;_-* &quot;-&quot;??_р_._-;_-@_-"/>
    <numFmt numFmtId="167" formatCode="_-* #,##0.00000\ _₽_-;\-* #,##0.00000\ _₽_-;_-* &quot;-&quot;?????\ _₽_-;_-@_-"/>
    <numFmt numFmtId="168" formatCode="_-* #,##0.00_р_._-;\-* #,##0.00_р_._-;_-* &quot;-&quot;??????_р_._-;_-@_-"/>
    <numFmt numFmtId="169" formatCode="_-* #,##0.00\ _₽_-;\-* #,##0.00\ _₽_-;_-* &quot;-&quot;?????\ _₽_-;_-@_-"/>
    <numFmt numFmtId="170" formatCode="#,##0.00000_р_."/>
    <numFmt numFmtId="171" formatCode="_-* #,##0.00000_р_._-;\-* #,##0.00000_р_._-;_-* &quot;-&quot;??_р_._-;_-@_-"/>
    <numFmt numFmtId="172" formatCode="_-* #,##0.000000_р_._-;\-* #,##0.000000_р_._-;_-* &quot;-&quot;??????_р_._-;_-@_-"/>
    <numFmt numFmtId="173" formatCode="_-* #,##0.000000\ _₽_-;\-* #,##0.000000\ _₽_-;_-* &quot;-&quot;??????\ _₽_-;_-@_-"/>
    <numFmt numFmtId="174" formatCode="_-* #,##0_р_._-;\-* #,##0_р_._-;_-* &quot;-&quot;??_р_._-;_-@_-"/>
    <numFmt numFmtId="175" formatCode="_(* #,##0.00_);_(* \(#,##0.00\);_(* &quot;-&quot;??_);_(@_)"/>
    <numFmt numFmtId="176" formatCode="_-* #,##0.00000_р_._-;\-* #,##0.00000_р_._-;_-* &quot;-&quot;?_р_._-;_-@_-"/>
    <numFmt numFmtId="177" formatCode="_-* #,##0.0000000\ _₽_-;\-* #,##0.0000000\ _₽_-;_-* &quot;-&quot;?????\ _₽_-;_-@_-"/>
    <numFmt numFmtId="178" formatCode="_-* #,##0.0000\ _₽_-;\-* #,##0.0000\ _₽_-;_-* &quot;-&quot;??????????????????????????????\ _₽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Calibri"/>
      <family val="2"/>
      <charset val="204"/>
    </font>
    <font>
      <b/>
      <sz val="10"/>
      <name val="Calibri"/>
      <family val="2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Calibri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Calibri"/>
      <family val="2"/>
      <charset val="204"/>
    </font>
    <font>
      <sz val="9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6" fillId="2" borderId="1" applyNumberFormat="0" applyFont="0" applyAlignment="0" applyProtection="0"/>
    <xf numFmtId="43" fontId="15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22" fillId="0" borderId="0"/>
    <xf numFmtId="0" fontId="15" fillId="0" borderId="0"/>
    <xf numFmtId="0" fontId="16" fillId="0" borderId="0"/>
    <xf numFmtId="175" fontId="16" fillId="0" borderId="0" applyFont="0" applyFill="0" applyBorder="0" applyAlignment="0" applyProtection="0"/>
  </cellStyleXfs>
  <cellXfs count="145">
    <xf numFmtId="0" fontId="0" fillId="0" borderId="0" xfId="0"/>
    <xf numFmtId="164" fontId="5" fillId="0" borderId="0" xfId="2" applyNumberFormat="1" applyFont="1" applyFill="1" applyAlignment="1">
      <alignment vertical="center" wrapText="1"/>
    </xf>
    <xf numFmtId="164" fontId="5" fillId="0" borderId="0" xfId="2" applyNumberFormat="1" applyFont="1" applyFill="1" applyAlignment="1">
      <alignment horizontal="right"/>
    </xf>
    <xf numFmtId="164" fontId="5" fillId="0" borderId="9" xfId="2" applyNumberFormat="1" applyFont="1" applyFill="1" applyBorder="1" applyAlignment="1">
      <alignment vertical="center" wrapText="1"/>
    </xf>
    <xf numFmtId="164" fontId="5" fillId="0" borderId="0" xfId="2" applyNumberFormat="1" applyFont="1" applyFill="1"/>
    <xf numFmtId="164" fontId="18" fillId="0" borderId="0" xfId="2" applyNumberFormat="1" applyFont="1" applyFill="1"/>
    <xf numFmtId="164" fontId="21" fillId="0" borderId="0" xfId="2" applyNumberFormat="1" applyFont="1" applyFill="1"/>
    <xf numFmtId="0" fontId="3" fillId="0" borderId="0" xfId="2" applyFont="1" applyFill="1" applyAlignment="1">
      <alignment horizontal="center"/>
    </xf>
    <xf numFmtId="0" fontId="7" fillId="0" borderId="0" xfId="2" applyFont="1" applyFill="1"/>
    <xf numFmtId="0" fontId="8" fillId="0" borderId="0" xfId="2" applyFont="1" applyFill="1"/>
    <xf numFmtId="1" fontId="9" fillId="0" borderId="6" xfId="2" applyNumberFormat="1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left" vertical="center" wrapText="1"/>
    </xf>
    <xf numFmtId="0" fontId="8" fillId="0" borderId="3" xfId="3" applyFont="1" applyFill="1" applyBorder="1" applyAlignment="1">
      <alignment horizontal="left" vertical="center" wrapText="1"/>
    </xf>
    <xf numFmtId="0" fontId="8" fillId="0" borderId="6" xfId="3" applyFont="1" applyFill="1" applyBorder="1" applyAlignment="1">
      <alignment vertical="center" wrapText="1"/>
    </xf>
    <xf numFmtId="0" fontId="3" fillId="0" borderId="6" xfId="3" applyFont="1" applyFill="1" applyBorder="1" applyAlignment="1">
      <alignment horizontal="left" vertical="center" wrapText="1"/>
    </xf>
    <xf numFmtId="0" fontId="7" fillId="0" borderId="9" xfId="2" applyFont="1" applyFill="1" applyBorder="1" applyAlignment="1">
      <alignment vertical="center" wrapText="1"/>
    </xf>
    <xf numFmtId="176" fontId="5" fillId="0" borderId="0" xfId="2" applyNumberFormat="1" applyFont="1" applyFill="1"/>
    <xf numFmtId="170" fontId="7" fillId="0" borderId="2" xfId="3" applyNumberFormat="1" applyFont="1" applyFill="1" applyBorder="1" applyAlignment="1">
      <alignment wrapText="1"/>
    </xf>
    <xf numFmtId="164" fontId="5" fillId="0" borderId="2" xfId="3" applyNumberFormat="1" applyFont="1" applyFill="1" applyBorder="1" applyAlignment="1">
      <alignment wrapText="1"/>
    </xf>
    <xf numFmtId="164" fontId="5" fillId="0" borderId="0" xfId="3" applyNumberFormat="1" applyFont="1" applyFill="1" applyAlignment="1">
      <alignment horizontal="left" wrapText="1"/>
    </xf>
    <xf numFmtId="164" fontId="5" fillId="0" borderId="0" xfId="3" applyNumberFormat="1" applyFont="1" applyFill="1"/>
    <xf numFmtId="0" fontId="18" fillId="0" borderId="0" xfId="2" applyFont="1" applyFill="1"/>
    <xf numFmtId="0" fontId="14" fillId="0" borderId="0" xfId="2" applyFont="1" applyFill="1"/>
    <xf numFmtId="164" fontId="4" fillId="0" borderId="0" xfId="2" applyNumberFormat="1" applyFont="1" applyFill="1" applyAlignment="1">
      <alignment horizontal="center"/>
    </xf>
    <xf numFmtId="167" fontId="5" fillId="0" borderId="10" xfId="2" applyNumberFormat="1" applyFont="1" applyFill="1" applyBorder="1" applyAlignment="1">
      <alignment horizontal="center" vertical="center" wrapText="1"/>
    </xf>
    <xf numFmtId="0" fontId="3" fillId="0" borderId="11" xfId="3" applyFont="1" applyFill="1" applyBorder="1" applyAlignment="1">
      <alignment horizontal="left" vertical="center" wrapText="1"/>
    </xf>
    <xf numFmtId="165" fontId="3" fillId="0" borderId="0" xfId="2" applyNumberFormat="1" applyFont="1" applyFill="1" applyAlignment="1">
      <alignment horizontal="center" vertical="center"/>
    </xf>
    <xf numFmtId="166" fontId="13" fillId="0" borderId="0" xfId="2" applyNumberFormat="1" applyFont="1" applyFill="1"/>
    <xf numFmtId="0" fontId="2" fillId="0" borderId="0" xfId="2" applyFont="1" applyFill="1" applyAlignment="1">
      <alignment horizontal="center"/>
    </xf>
    <xf numFmtId="165" fontId="3" fillId="0" borderId="0" xfId="2" applyNumberFormat="1" applyFont="1" applyFill="1"/>
    <xf numFmtId="166" fontId="7" fillId="0" borderId="0" xfId="2" applyNumberFormat="1" applyFont="1" applyFill="1"/>
    <xf numFmtId="166" fontId="8" fillId="0" borderId="0" xfId="2" applyNumberFormat="1" applyFont="1" applyFill="1"/>
    <xf numFmtId="0" fontId="7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vertical="center" wrapText="1"/>
    </xf>
    <xf numFmtId="1" fontId="7" fillId="0" borderId="6" xfId="2" applyNumberFormat="1" applyFont="1" applyFill="1" applyBorder="1" applyAlignment="1">
      <alignment horizontal="center" vertical="center" wrapText="1"/>
    </xf>
    <xf numFmtId="166" fontId="9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165" fontId="3" fillId="0" borderId="0" xfId="2" applyNumberFormat="1" applyFont="1" applyFill="1" applyAlignment="1">
      <alignment horizontal="left" vertical="center"/>
    </xf>
    <xf numFmtId="166" fontId="10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166" fontId="11" fillId="0" borderId="0" xfId="2" applyNumberFormat="1" applyFont="1" applyFill="1"/>
    <xf numFmtId="0" fontId="12" fillId="0" borderId="0" xfId="2" applyFont="1" applyFill="1"/>
    <xf numFmtId="166" fontId="17" fillId="0" borderId="0" xfId="2" applyNumberFormat="1" applyFont="1" applyFill="1"/>
    <xf numFmtId="170" fontId="13" fillId="0" borderId="0" xfId="2" applyNumberFormat="1" applyFont="1" applyFill="1"/>
    <xf numFmtId="170" fontId="14" fillId="0" borderId="0" xfId="2" applyNumberFormat="1" applyFont="1" applyFill="1"/>
    <xf numFmtId="43" fontId="14" fillId="0" borderId="0" xfId="2" applyNumberFormat="1" applyFont="1" applyFill="1"/>
    <xf numFmtId="170" fontId="17" fillId="0" borderId="0" xfId="2" applyNumberFormat="1" applyFont="1" applyFill="1"/>
    <xf numFmtId="169" fontId="14" fillId="0" borderId="0" xfId="2" applyNumberFormat="1" applyFont="1" applyFill="1"/>
    <xf numFmtId="171" fontId="13" fillId="0" borderId="0" xfId="2" applyNumberFormat="1" applyFont="1" applyFill="1"/>
    <xf numFmtId="167" fontId="14" fillId="0" borderId="0" xfId="2" applyNumberFormat="1" applyFont="1" applyFill="1"/>
    <xf numFmtId="172" fontId="14" fillId="0" borderId="0" xfId="2" applyNumberFormat="1" applyFont="1" applyFill="1"/>
    <xf numFmtId="173" fontId="14" fillId="0" borderId="0" xfId="2" applyNumberFormat="1" applyFont="1" applyFill="1"/>
    <xf numFmtId="174" fontId="13" fillId="0" borderId="0" xfId="2" applyNumberFormat="1" applyFont="1" applyFill="1"/>
    <xf numFmtId="165" fontId="12" fillId="0" borderId="0" xfId="2" applyNumberFormat="1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170" fontId="7" fillId="0" borderId="0" xfId="3" applyNumberFormat="1" applyFont="1" applyFill="1" applyAlignment="1">
      <alignment horizontal="left"/>
    </xf>
    <xf numFmtId="170" fontId="7" fillId="0" borderId="0" xfId="3" applyNumberFormat="1" applyFont="1" applyFill="1"/>
    <xf numFmtId="170" fontId="7" fillId="0" borderId="0" xfId="3" applyNumberFormat="1" applyFont="1" applyFill="1" applyAlignment="1">
      <alignment horizontal="center"/>
    </xf>
    <xf numFmtId="165" fontId="19" fillId="0" borderId="0" xfId="2" applyNumberFormat="1" applyFont="1" applyFill="1" applyAlignment="1">
      <alignment horizontal="center" vertical="center"/>
    </xf>
    <xf numFmtId="166" fontId="18" fillId="0" borderId="0" xfId="2" applyNumberFormat="1" applyFont="1" applyFill="1"/>
    <xf numFmtId="0" fontId="20" fillId="0" borderId="0" xfId="2" applyFont="1" applyFill="1"/>
    <xf numFmtId="0" fontId="20" fillId="0" borderId="0" xfId="2" applyFont="1" applyFill="1" applyAlignment="1">
      <alignment horizontal="center" vertical="center"/>
    </xf>
    <xf numFmtId="165" fontId="4" fillId="0" borderId="0" xfId="2" applyNumberFormat="1" applyFont="1" applyFill="1" applyAlignment="1">
      <alignment horizontal="center" vertical="center"/>
    </xf>
    <xf numFmtId="166" fontId="5" fillId="0" borderId="0" xfId="2" applyNumberFormat="1" applyFont="1" applyFill="1"/>
    <xf numFmtId="1" fontId="9" fillId="0" borderId="6" xfId="2" applyNumberFormat="1" applyFont="1" applyFill="1" applyBorder="1" applyAlignment="1">
      <alignment horizontal="center" vertical="center"/>
    </xf>
    <xf numFmtId="177" fontId="5" fillId="0" borderId="6" xfId="4" applyNumberFormat="1" applyFont="1" applyFill="1" applyBorder="1" applyAlignment="1">
      <alignment horizontal="center" vertical="center" wrapText="1"/>
    </xf>
    <xf numFmtId="167" fontId="9" fillId="0" borderId="6" xfId="2" applyNumberFormat="1" applyFont="1" applyFill="1" applyBorder="1" applyAlignment="1">
      <alignment horizontal="center" vertical="center"/>
    </xf>
    <xf numFmtId="167" fontId="9" fillId="0" borderId="6" xfId="2" applyNumberFormat="1" applyFont="1" applyFill="1" applyBorder="1" applyAlignment="1">
      <alignment horizontal="center" vertical="center" wrapText="1"/>
    </xf>
    <xf numFmtId="167" fontId="9" fillId="0" borderId="7" xfId="2" applyNumberFormat="1" applyFont="1" applyFill="1" applyBorder="1" applyAlignment="1">
      <alignment horizontal="center" vertical="center" wrapText="1"/>
    </xf>
    <xf numFmtId="167" fontId="9" fillId="0" borderId="10" xfId="2" applyNumberFormat="1" applyFont="1" applyFill="1" applyBorder="1" applyAlignment="1">
      <alignment horizontal="center" vertical="center" wrapText="1"/>
    </xf>
    <xf numFmtId="167" fontId="4" fillId="0" borderId="6" xfId="4" applyNumberFormat="1" applyFont="1" applyFill="1" applyBorder="1" applyAlignment="1">
      <alignment horizontal="center" vertical="center" wrapText="1"/>
    </xf>
    <xf numFmtId="167" fontId="4" fillId="0" borderId="7" xfId="4" applyNumberFormat="1" applyFont="1" applyFill="1" applyBorder="1" applyAlignment="1">
      <alignment horizontal="center" vertical="center" wrapText="1"/>
    </xf>
    <xf numFmtId="167" fontId="4" fillId="0" borderId="10" xfId="4" applyNumberFormat="1" applyFont="1" applyFill="1" applyBorder="1" applyAlignment="1">
      <alignment horizontal="center" vertical="center" wrapText="1"/>
    </xf>
    <xf numFmtId="167" fontId="5" fillId="0" borderId="6" xfId="4" applyNumberFormat="1" applyFont="1" applyFill="1" applyBorder="1" applyAlignment="1">
      <alignment horizontal="center" vertical="center" wrapText="1"/>
    </xf>
    <xf numFmtId="167" fontId="5" fillId="0" borderId="7" xfId="4" applyNumberFormat="1" applyFont="1" applyFill="1" applyBorder="1" applyAlignment="1">
      <alignment horizontal="center" vertical="center" wrapText="1"/>
    </xf>
    <xf numFmtId="167" fontId="5" fillId="0" borderId="10" xfId="4" applyNumberFormat="1" applyFont="1" applyFill="1" applyBorder="1" applyAlignment="1">
      <alignment horizontal="center" vertical="center" wrapText="1"/>
    </xf>
    <xf numFmtId="167" fontId="5" fillId="0" borderId="6" xfId="5" applyNumberFormat="1" applyFont="1" applyFill="1" applyBorder="1" applyAlignment="1">
      <alignment horizontal="justify" vertical="center"/>
    </xf>
    <xf numFmtId="167" fontId="18" fillId="0" borderId="6" xfId="0" applyNumberFormat="1" applyFont="1" applyFill="1" applyBorder="1"/>
    <xf numFmtId="167" fontId="5" fillId="0" borderId="6" xfId="0" applyNumberFormat="1" applyFont="1" applyFill="1" applyBorder="1" applyAlignment="1">
      <alignment vertical="center"/>
    </xf>
    <xf numFmtId="167" fontId="5" fillId="0" borderId="7" xfId="4" applyNumberFormat="1" applyFont="1" applyFill="1" applyBorder="1" applyAlignment="1">
      <alignment vertical="center" wrapText="1"/>
    </xf>
    <xf numFmtId="167" fontId="5" fillId="0" borderId="15" xfId="5" applyNumberFormat="1" applyFont="1" applyFill="1" applyBorder="1" applyAlignment="1">
      <alignment horizontal="justify" vertical="center"/>
    </xf>
    <xf numFmtId="167" fontId="5" fillId="0" borderId="6" xfId="1" applyNumberFormat="1" applyFont="1" applyFill="1" applyBorder="1" applyAlignment="1">
      <alignment horizontal="center" vertical="center" wrapText="1"/>
    </xf>
    <xf numFmtId="167" fontId="7" fillId="0" borderId="0" xfId="2" applyNumberFormat="1" applyFont="1" applyFill="1"/>
    <xf numFmtId="0" fontId="8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178" fontId="5" fillId="0" borderId="6" xfId="4" applyNumberFormat="1" applyFont="1" applyFill="1" applyBorder="1" applyAlignment="1">
      <alignment horizontal="center" vertical="center" wrapText="1"/>
    </xf>
    <xf numFmtId="176" fontId="4" fillId="0" borderId="0" xfId="2" applyNumberFormat="1" applyFont="1" applyFill="1" applyAlignment="1">
      <alignment horizontal="center"/>
    </xf>
    <xf numFmtId="167" fontId="5" fillId="0" borderId="7" xfId="2" applyNumberFormat="1" applyFont="1" applyFill="1" applyBorder="1" applyAlignment="1">
      <alignment horizontal="center" vertical="center" wrapText="1"/>
    </xf>
    <xf numFmtId="167" fontId="5" fillId="0" borderId="6" xfId="2" applyNumberFormat="1" applyFont="1" applyFill="1" applyBorder="1" applyAlignment="1">
      <alignment horizontal="center" vertical="center" wrapText="1"/>
    </xf>
    <xf numFmtId="164" fontId="7" fillId="0" borderId="0" xfId="2" applyNumberFormat="1" applyFont="1" applyFill="1" applyAlignment="1">
      <alignment vertical="center" wrapText="1"/>
    </xf>
    <xf numFmtId="0" fontId="8" fillId="0" borderId="9" xfId="2" applyFont="1" applyFill="1" applyBorder="1" applyAlignment="1">
      <alignment horizontal="center"/>
    </xf>
    <xf numFmtId="0" fontId="8" fillId="0" borderId="0" xfId="2" applyFont="1" applyFill="1" applyAlignment="1">
      <alignment horizontal="center"/>
    </xf>
    <xf numFmtId="168" fontId="2" fillId="0" borderId="6" xfId="2" applyNumberFormat="1" applyFont="1" applyFill="1" applyBorder="1" applyAlignment="1">
      <alignment horizontal="center" vertical="center" wrapText="1"/>
    </xf>
    <xf numFmtId="168" fontId="2" fillId="0" borderId="3" xfId="2" applyNumberFormat="1" applyFont="1" applyFill="1" applyBorder="1" applyAlignment="1">
      <alignment horizontal="center" vertical="center" wrapText="1"/>
    </xf>
    <xf numFmtId="168" fontId="2" fillId="0" borderId="14" xfId="2" applyNumberFormat="1" applyFont="1" applyFill="1" applyBorder="1" applyAlignment="1">
      <alignment horizontal="center" vertical="center" wrapText="1"/>
    </xf>
    <xf numFmtId="168" fontId="2" fillId="0" borderId="11" xfId="2" applyNumberFormat="1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left" vertical="center" wrapText="1"/>
    </xf>
    <xf numFmtId="170" fontId="7" fillId="0" borderId="0" xfId="3" applyNumberFormat="1" applyFont="1" applyFill="1" applyAlignment="1">
      <alignment horizontal="left" wrapText="1"/>
    </xf>
    <xf numFmtId="170" fontId="7" fillId="0" borderId="0" xfId="3" applyNumberFormat="1" applyFont="1" applyFill="1" applyAlignment="1">
      <alignment horizontal="left" vertical="top" wrapText="1"/>
    </xf>
    <xf numFmtId="168" fontId="7" fillId="0" borderId="6" xfId="2" applyNumberFormat="1" applyFont="1" applyFill="1" applyBorder="1" applyAlignment="1">
      <alignment horizontal="center" vertical="center" wrapText="1"/>
    </xf>
    <xf numFmtId="168" fontId="7" fillId="0" borderId="3" xfId="2" applyNumberFormat="1" applyFont="1" applyFill="1" applyBorder="1" applyAlignment="1">
      <alignment horizontal="center" vertical="center" wrapText="1"/>
    </xf>
    <xf numFmtId="168" fontId="7" fillId="0" borderId="14" xfId="2" applyNumberFormat="1" applyFont="1" applyFill="1" applyBorder="1" applyAlignment="1">
      <alignment horizontal="center" vertical="center" wrapText="1"/>
    </xf>
    <xf numFmtId="168" fontId="7" fillId="0" borderId="11" xfId="2" applyNumberFormat="1" applyFont="1" applyFill="1" applyBorder="1" applyAlignment="1">
      <alignment horizontal="center" vertical="center" wrapText="1"/>
    </xf>
    <xf numFmtId="49" fontId="7" fillId="0" borderId="6" xfId="2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68" fontId="7" fillId="0" borderId="3" xfId="2" applyNumberFormat="1" applyFont="1" applyFill="1" applyBorder="1" applyAlignment="1">
      <alignment horizontal="center" vertical="top" wrapText="1"/>
    </xf>
    <xf numFmtId="168" fontId="7" fillId="0" borderId="14" xfId="2" applyNumberFormat="1" applyFont="1" applyFill="1" applyBorder="1" applyAlignment="1">
      <alignment horizontal="center" vertical="top" wrapText="1"/>
    </xf>
    <xf numFmtId="168" fontId="7" fillId="0" borderId="11" xfId="2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" fontId="7" fillId="0" borderId="11" xfId="4" applyNumberFormat="1" applyFont="1" applyFill="1" applyBorder="1" applyAlignment="1">
      <alignment horizontal="center" vertical="center" wrapText="1"/>
    </xf>
    <xf numFmtId="1" fontId="7" fillId="0" borderId="6" xfId="4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1" fontId="9" fillId="0" borderId="3" xfId="2" applyNumberFormat="1" applyFont="1" applyFill="1" applyBorder="1" applyAlignment="1">
      <alignment horizontal="center" vertical="center" wrapText="1"/>
    </xf>
    <xf numFmtId="1" fontId="9" fillId="0" borderId="14" xfId="2" applyNumberFormat="1" applyFont="1" applyFill="1" applyBorder="1" applyAlignment="1">
      <alignment horizontal="center" vertical="center" wrapText="1"/>
    </xf>
    <xf numFmtId="1" fontId="9" fillId="0" borderId="11" xfId="2" applyNumberFormat="1" applyFont="1" applyFill="1" applyBorder="1" applyAlignment="1">
      <alignment horizontal="center" vertical="center" wrapText="1"/>
    </xf>
    <xf numFmtId="1" fontId="7" fillId="0" borderId="3" xfId="2" applyNumberFormat="1" applyFont="1" applyFill="1" applyBorder="1" applyAlignment="1">
      <alignment horizontal="center" vertical="center" wrapText="1"/>
    </xf>
    <xf numFmtId="1" fontId="7" fillId="0" borderId="14" xfId="2" applyNumberFormat="1" applyFont="1" applyFill="1" applyBorder="1" applyAlignment="1">
      <alignment horizontal="center" vertical="center" wrapText="1"/>
    </xf>
    <xf numFmtId="1" fontId="7" fillId="0" borderId="11" xfId="2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167" fontId="5" fillId="0" borderId="7" xfId="2" applyNumberFormat="1" applyFont="1" applyFill="1" applyBorder="1" applyAlignment="1">
      <alignment horizontal="center" vertical="center" wrapText="1"/>
    </xf>
    <xf numFmtId="167" fontId="5" fillId="0" borderId="8" xfId="2" applyNumberFormat="1" applyFont="1" applyFill="1" applyBorder="1" applyAlignment="1">
      <alignment horizontal="center" vertical="center"/>
    </xf>
    <xf numFmtId="167" fontId="5" fillId="0" borderId="9" xfId="2" applyNumberFormat="1" applyFont="1" applyFill="1" applyBorder="1" applyAlignment="1">
      <alignment horizontal="center" vertical="center"/>
    </xf>
    <xf numFmtId="167" fontId="5" fillId="0" borderId="10" xfId="2" applyNumberFormat="1" applyFont="1" applyFill="1" applyBorder="1" applyAlignment="1">
      <alignment horizontal="center" vertical="center"/>
    </xf>
    <xf numFmtId="164" fontId="5" fillId="0" borderId="0" xfId="3" applyNumberFormat="1" applyFont="1" applyFill="1" applyAlignment="1">
      <alignment horizontal="left"/>
    </xf>
    <xf numFmtId="164" fontId="7" fillId="0" borderId="0" xfId="3" applyNumberFormat="1" applyFont="1" applyFill="1" applyAlignment="1">
      <alignment horizontal="left"/>
    </xf>
    <xf numFmtId="164" fontId="7" fillId="0" borderId="2" xfId="3" applyNumberFormat="1" applyFont="1" applyFill="1" applyBorder="1" applyAlignment="1">
      <alignment horizontal="right"/>
    </xf>
    <xf numFmtId="0" fontId="2" fillId="0" borderId="0" xfId="3" applyFont="1" applyFill="1" applyAlignment="1">
      <alignment horizontal="center" vertical="center"/>
    </xf>
    <xf numFmtId="0" fontId="7" fillId="0" borderId="0" xfId="2" applyFont="1" applyFill="1" applyAlignment="1">
      <alignment horizontal="center"/>
    </xf>
    <xf numFmtId="0" fontId="7" fillId="0" borderId="3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167" fontId="5" fillId="0" borderId="6" xfId="2" applyNumberFormat="1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7"/>
    <cellStyle name="Обычный 2 2" xfId="8"/>
    <cellStyle name="Обычный 2 2 2" xfId="9"/>
    <cellStyle name="Обычный 2 3" xfId="10"/>
    <cellStyle name="Обычный 2 4" xfId="2"/>
    <cellStyle name="Обычный 3" xfId="3"/>
    <cellStyle name="Обычный 3 2" xfId="6"/>
    <cellStyle name="Обычный 4" xfId="11"/>
    <cellStyle name="Обычный 4 2" xfId="12"/>
    <cellStyle name="Обычный 4 3" xfId="13"/>
    <cellStyle name="Обычный 5" xfId="14"/>
    <cellStyle name="Примечание 2" xfId="4"/>
    <cellStyle name="Финансовый" xfId="1" builtinId="3"/>
    <cellStyle name="Финансовый 2" xfId="5"/>
    <cellStyle name="Финансовый 5" xfId="15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181"/>
  <sheetViews>
    <sheetView tabSelected="1" topLeftCell="A2" zoomScale="90" zoomScaleNormal="90" zoomScaleSheetLayoutView="100" workbookViewId="0">
      <pane xSplit="2" ySplit="10" topLeftCell="E80" activePane="bottomRight" state="frozen"/>
      <selection activeCell="A2" sqref="A2"/>
      <selection pane="topRight" activeCell="C2" sqref="C2"/>
      <selection pane="bottomLeft" activeCell="A12" sqref="A12"/>
      <selection pane="bottomRight" activeCell="E169" sqref="E169"/>
    </sheetView>
  </sheetViews>
  <sheetFormatPr defaultRowHeight="15.75" outlineLevelRow="1" outlineLevelCol="1" x14ac:dyDescent="0.25"/>
  <cols>
    <col min="1" max="1" width="8.140625" style="60" customWidth="1"/>
    <col min="2" max="2" width="34.140625" style="61" customWidth="1"/>
    <col min="3" max="3" width="35.7109375" style="60" customWidth="1"/>
    <col min="4" max="4" width="19.5703125" style="22" customWidth="1"/>
    <col min="5" max="5" width="19.42578125" style="6" customWidth="1"/>
    <col min="6" max="6" width="16.85546875" style="6" customWidth="1" outlineLevel="1"/>
    <col min="7" max="7" width="17.140625" style="6" customWidth="1" outlineLevel="1"/>
    <col min="8" max="8" width="16.85546875" style="6" customWidth="1" outlineLevel="1"/>
    <col min="9" max="9" width="14.5703125" style="6" customWidth="1" outlineLevel="1"/>
    <col min="10" max="10" width="15.85546875" style="6" customWidth="1" outlineLevel="1"/>
    <col min="11" max="11" width="16.7109375" style="6" customWidth="1" outlineLevel="1"/>
    <col min="12" max="12" width="16.5703125" style="6" customWidth="1" outlineLevel="1"/>
    <col min="13" max="13" width="15.7109375" style="6" customWidth="1" outlineLevel="1"/>
    <col min="14" max="14" width="16.140625" style="6" customWidth="1" outlineLevel="1"/>
    <col min="15" max="15" width="15.140625" style="6" customWidth="1"/>
    <col min="16" max="16" width="17.28515625" style="6" customWidth="1"/>
    <col min="17" max="17" width="17.5703125" style="6" customWidth="1"/>
    <col min="18" max="18" width="21" style="53" customWidth="1"/>
    <col min="19" max="19" width="21.42578125" style="27" customWidth="1"/>
    <col min="20" max="20" width="15.28515625" style="22" customWidth="1"/>
    <col min="21" max="21" width="9.140625" style="22"/>
    <col min="22" max="22" width="11.42578125" style="22" bestFit="1" customWidth="1"/>
    <col min="23" max="23" width="4" style="22" customWidth="1"/>
    <col min="24" max="24" width="17.28515625" style="22" customWidth="1"/>
    <col min="25" max="25" width="18.5703125" style="22" customWidth="1"/>
    <col min="26" max="26" width="9.140625" style="22"/>
    <col min="27" max="27" width="15.42578125" style="22" customWidth="1"/>
    <col min="28" max="256" width="9.140625" style="22"/>
    <col min="257" max="257" width="7.42578125" style="22" customWidth="1"/>
    <col min="258" max="258" width="36.140625" style="22" customWidth="1"/>
    <col min="259" max="259" width="28.42578125" style="22" customWidth="1"/>
    <col min="260" max="260" width="26" style="22" customWidth="1"/>
    <col min="261" max="261" width="16" style="22" customWidth="1"/>
    <col min="262" max="263" width="14.28515625" style="22" customWidth="1"/>
    <col min="264" max="264" width="16.140625" style="22" customWidth="1"/>
    <col min="265" max="265" width="14.7109375" style="22" customWidth="1"/>
    <col min="266" max="266" width="14.5703125" style="22" customWidth="1"/>
    <col min="267" max="267" width="14" style="22" customWidth="1"/>
    <col min="268" max="268" width="16.85546875" style="22" customWidth="1"/>
    <col min="269" max="269" width="14.5703125" style="22" customWidth="1"/>
    <col min="270" max="270" width="13.42578125" style="22" customWidth="1"/>
    <col min="271" max="271" width="14.140625" style="22" customWidth="1"/>
    <col min="272" max="272" width="13.5703125" style="22" customWidth="1"/>
    <col min="273" max="273" width="14.7109375" style="22" customWidth="1"/>
    <col min="274" max="274" width="16" style="22" customWidth="1"/>
    <col min="275" max="275" width="14.5703125" style="22" bestFit="1" customWidth="1"/>
    <col min="276" max="512" width="9.140625" style="22"/>
    <col min="513" max="513" width="7.42578125" style="22" customWidth="1"/>
    <col min="514" max="514" width="36.140625" style="22" customWidth="1"/>
    <col min="515" max="515" width="28.42578125" style="22" customWidth="1"/>
    <col min="516" max="516" width="26" style="22" customWidth="1"/>
    <col min="517" max="517" width="16" style="22" customWidth="1"/>
    <col min="518" max="519" width="14.28515625" style="22" customWidth="1"/>
    <col min="520" max="520" width="16.140625" style="22" customWidth="1"/>
    <col min="521" max="521" width="14.7109375" style="22" customWidth="1"/>
    <col min="522" max="522" width="14.5703125" style="22" customWidth="1"/>
    <col min="523" max="523" width="14" style="22" customWidth="1"/>
    <col min="524" max="524" width="16.85546875" style="22" customWidth="1"/>
    <col min="525" max="525" width="14.5703125" style="22" customWidth="1"/>
    <col min="526" max="526" width="13.42578125" style="22" customWidth="1"/>
    <col min="527" max="527" width="14.140625" style="22" customWidth="1"/>
    <col min="528" max="528" width="13.5703125" style="22" customWidth="1"/>
    <col min="529" max="529" width="14.7109375" style="22" customWidth="1"/>
    <col min="530" max="530" width="16" style="22" customWidth="1"/>
    <col min="531" max="531" width="14.5703125" style="22" bestFit="1" customWidth="1"/>
    <col min="532" max="768" width="9.140625" style="22"/>
    <col min="769" max="769" width="7.42578125" style="22" customWidth="1"/>
    <col min="770" max="770" width="36.140625" style="22" customWidth="1"/>
    <col min="771" max="771" width="28.42578125" style="22" customWidth="1"/>
    <col min="772" max="772" width="26" style="22" customWidth="1"/>
    <col min="773" max="773" width="16" style="22" customWidth="1"/>
    <col min="774" max="775" width="14.28515625" style="22" customWidth="1"/>
    <col min="776" max="776" width="16.140625" style="22" customWidth="1"/>
    <col min="777" max="777" width="14.7109375" style="22" customWidth="1"/>
    <col min="778" max="778" width="14.5703125" style="22" customWidth="1"/>
    <col min="779" max="779" width="14" style="22" customWidth="1"/>
    <col min="780" max="780" width="16.85546875" style="22" customWidth="1"/>
    <col min="781" max="781" width="14.5703125" style="22" customWidth="1"/>
    <col min="782" max="782" width="13.42578125" style="22" customWidth="1"/>
    <col min="783" max="783" width="14.140625" style="22" customWidth="1"/>
    <col min="784" max="784" width="13.5703125" style="22" customWidth="1"/>
    <col min="785" max="785" width="14.7109375" style="22" customWidth="1"/>
    <col min="786" max="786" width="16" style="22" customWidth="1"/>
    <col min="787" max="787" width="14.5703125" style="22" bestFit="1" customWidth="1"/>
    <col min="788" max="1024" width="9.140625" style="22"/>
    <col min="1025" max="1025" width="7.42578125" style="22" customWidth="1"/>
    <col min="1026" max="1026" width="36.140625" style="22" customWidth="1"/>
    <col min="1027" max="1027" width="28.42578125" style="22" customWidth="1"/>
    <col min="1028" max="1028" width="26" style="22" customWidth="1"/>
    <col min="1029" max="1029" width="16" style="22" customWidth="1"/>
    <col min="1030" max="1031" width="14.28515625" style="22" customWidth="1"/>
    <col min="1032" max="1032" width="16.140625" style="22" customWidth="1"/>
    <col min="1033" max="1033" width="14.7109375" style="22" customWidth="1"/>
    <col min="1034" max="1034" width="14.5703125" style="22" customWidth="1"/>
    <col min="1035" max="1035" width="14" style="22" customWidth="1"/>
    <col min="1036" max="1036" width="16.85546875" style="22" customWidth="1"/>
    <col min="1037" max="1037" width="14.5703125" style="22" customWidth="1"/>
    <col min="1038" max="1038" width="13.42578125" style="22" customWidth="1"/>
    <col min="1039" max="1039" width="14.140625" style="22" customWidth="1"/>
    <col min="1040" max="1040" width="13.5703125" style="22" customWidth="1"/>
    <col min="1041" max="1041" width="14.7109375" style="22" customWidth="1"/>
    <col min="1042" max="1042" width="16" style="22" customWidth="1"/>
    <col min="1043" max="1043" width="14.5703125" style="22" bestFit="1" customWidth="1"/>
    <col min="1044" max="1280" width="9.140625" style="22"/>
    <col min="1281" max="1281" width="7.42578125" style="22" customWidth="1"/>
    <col min="1282" max="1282" width="36.140625" style="22" customWidth="1"/>
    <col min="1283" max="1283" width="28.42578125" style="22" customWidth="1"/>
    <col min="1284" max="1284" width="26" style="22" customWidth="1"/>
    <col min="1285" max="1285" width="16" style="22" customWidth="1"/>
    <col min="1286" max="1287" width="14.28515625" style="22" customWidth="1"/>
    <col min="1288" max="1288" width="16.140625" style="22" customWidth="1"/>
    <col min="1289" max="1289" width="14.7109375" style="22" customWidth="1"/>
    <col min="1290" max="1290" width="14.5703125" style="22" customWidth="1"/>
    <col min="1291" max="1291" width="14" style="22" customWidth="1"/>
    <col min="1292" max="1292" width="16.85546875" style="22" customWidth="1"/>
    <col min="1293" max="1293" width="14.5703125" style="22" customWidth="1"/>
    <col min="1294" max="1294" width="13.42578125" style="22" customWidth="1"/>
    <col min="1295" max="1295" width="14.140625" style="22" customWidth="1"/>
    <col min="1296" max="1296" width="13.5703125" style="22" customWidth="1"/>
    <col min="1297" max="1297" width="14.7109375" style="22" customWidth="1"/>
    <col min="1298" max="1298" width="16" style="22" customWidth="1"/>
    <col min="1299" max="1299" width="14.5703125" style="22" bestFit="1" customWidth="1"/>
    <col min="1300" max="1536" width="9.140625" style="22"/>
    <col min="1537" max="1537" width="7.42578125" style="22" customWidth="1"/>
    <col min="1538" max="1538" width="36.140625" style="22" customWidth="1"/>
    <col min="1539" max="1539" width="28.42578125" style="22" customWidth="1"/>
    <col min="1540" max="1540" width="26" style="22" customWidth="1"/>
    <col min="1541" max="1541" width="16" style="22" customWidth="1"/>
    <col min="1542" max="1543" width="14.28515625" style="22" customWidth="1"/>
    <col min="1544" max="1544" width="16.140625" style="22" customWidth="1"/>
    <col min="1545" max="1545" width="14.7109375" style="22" customWidth="1"/>
    <col min="1546" max="1546" width="14.5703125" style="22" customWidth="1"/>
    <col min="1547" max="1547" width="14" style="22" customWidth="1"/>
    <col min="1548" max="1548" width="16.85546875" style="22" customWidth="1"/>
    <col min="1549" max="1549" width="14.5703125" style="22" customWidth="1"/>
    <col min="1550" max="1550" width="13.42578125" style="22" customWidth="1"/>
    <col min="1551" max="1551" width="14.140625" style="22" customWidth="1"/>
    <col min="1552" max="1552" width="13.5703125" style="22" customWidth="1"/>
    <col min="1553" max="1553" width="14.7109375" style="22" customWidth="1"/>
    <col min="1554" max="1554" width="16" style="22" customWidth="1"/>
    <col min="1555" max="1555" width="14.5703125" style="22" bestFit="1" customWidth="1"/>
    <col min="1556" max="1792" width="9.140625" style="22"/>
    <col min="1793" max="1793" width="7.42578125" style="22" customWidth="1"/>
    <col min="1794" max="1794" width="36.140625" style="22" customWidth="1"/>
    <col min="1795" max="1795" width="28.42578125" style="22" customWidth="1"/>
    <col min="1796" max="1796" width="26" style="22" customWidth="1"/>
    <col min="1797" max="1797" width="16" style="22" customWidth="1"/>
    <col min="1798" max="1799" width="14.28515625" style="22" customWidth="1"/>
    <col min="1800" max="1800" width="16.140625" style="22" customWidth="1"/>
    <col min="1801" max="1801" width="14.7109375" style="22" customWidth="1"/>
    <col min="1802" max="1802" width="14.5703125" style="22" customWidth="1"/>
    <col min="1803" max="1803" width="14" style="22" customWidth="1"/>
    <col min="1804" max="1804" width="16.85546875" style="22" customWidth="1"/>
    <col min="1805" max="1805" width="14.5703125" style="22" customWidth="1"/>
    <col min="1806" max="1806" width="13.42578125" style="22" customWidth="1"/>
    <col min="1807" max="1807" width="14.140625" style="22" customWidth="1"/>
    <col min="1808" max="1808" width="13.5703125" style="22" customWidth="1"/>
    <col min="1809" max="1809" width="14.7109375" style="22" customWidth="1"/>
    <col min="1810" max="1810" width="16" style="22" customWidth="1"/>
    <col min="1811" max="1811" width="14.5703125" style="22" bestFit="1" customWidth="1"/>
    <col min="1812" max="2048" width="9.140625" style="22"/>
    <col min="2049" max="2049" width="7.42578125" style="22" customWidth="1"/>
    <col min="2050" max="2050" width="36.140625" style="22" customWidth="1"/>
    <col min="2051" max="2051" width="28.42578125" style="22" customWidth="1"/>
    <col min="2052" max="2052" width="26" style="22" customWidth="1"/>
    <col min="2053" max="2053" width="16" style="22" customWidth="1"/>
    <col min="2054" max="2055" width="14.28515625" style="22" customWidth="1"/>
    <col min="2056" max="2056" width="16.140625" style="22" customWidth="1"/>
    <col min="2057" max="2057" width="14.7109375" style="22" customWidth="1"/>
    <col min="2058" max="2058" width="14.5703125" style="22" customWidth="1"/>
    <col min="2059" max="2059" width="14" style="22" customWidth="1"/>
    <col min="2060" max="2060" width="16.85546875" style="22" customWidth="1"/>
    <col min="2061" max="2061" width="14.5703125" style="22" customWidth="1"/>
    <col min="2062" max="2062" width="13.42578125" style="22" customWidth="1"/>
    <col min="2063" max="2063" width="14.140625" style="22" customWidth="1"/>
    <col min="2064" max="2064" width="13.5703125" style="22" customWidth="1"/>
    <col min="2065" max="2065" width="14.7109375" style="22" customWidth="1"/>
    <col min="2066" max="2066" width="16" style="22" customWidth="1"/>
    <col min="2067" max="2067" width="14.5703125" style="22" bestFit="1" customWidth="1"/>
    <col min="2068" max="2304" width="9.140625" style="22"/>
    <col min="2305" max="2305" width="7.42578125" style="22" customWidth="1"/>
    <col min="2306" max="2306" width="36.140625" style="22" customWidth="1"/>
    <col min="2307" max="2307" width="28.42578125" style="22" customWidth="1"/>
    <col min="2308" max="2308" width="26" style="22" customWidth="1"/>
    <col min="2309" max="2309" width="16" style="22" customWidth="1"/>
    <col min="2310" max="2311" width="14.28515625" style="22" customWidth="1"/>
    <col min="2312" max="2312" width="16.140625" style="22" customWidth="1"/>
    <col min="2313" max="2313" width="14.7109375" style="22" customWidth="1"/>
    <col min="2314" max="2314" width="14.5703125" style="22" customWidth="1"/>
    <col min="2315" max="2315" width="14" style="22" customWidth="1"/>
    <col min="2316" max="2316" width="16.85546875" style="22" customWidth="1"/>
    <col min="2317" max="2317" width="14.5703125" style="22" customWidth="1"/>
    <col min="2318" max="2318" width="13.42578125" style="22" customWidth="1"/>
    <col min="2319" max="2319" width="14.140625" style="22" customWidth="1"/>
    <col min="2320" max="2320" width="13.5703125" style="22" customWidth="1"/>
    <col min="2321" max="2321" width="14.7109375" style="22" customWidth="1"/>
    <col min="2322" max="2322" width="16" style="22" customWidth="1"/>
    <col min="2323" max="2323" width="14.5703125" style="22" bestFit="1" customWidth="1"/>
    <col min="2324" max="2560" width="9.140625" style="22"/>
    <col min="2561" max="2561" width="7.42578125" style="22" customWidth="1"/>
    <col min="2562" max="2562" width="36.140625" style="22" customWidth="1"/>
    <col min="2563" max="2563" width="28.42578125" style="22" customWidth="1"/>
    <col min="2564" max="2564" width="26" style="22" customWidth="1"/>
    <col min="2565" max="2565" width="16" style="22" customWidth="1"/>
    <col min="2566" max="2567" width="14.28515625" style="22" customWidth="1"/>
    <col min="2568" max="2568" width="16.140625" style="22" customWidth="1"/>
    <col min="2569" max="2569" width="14.7109375" style="22" customWidth="1"/>
    <col min="2570" max="2570" width="14.5703125" style="22" customWidth="1"/>
    <col min="2571" max="2571" width="14" style="22" customWidth="1"/>
    <col min="2572" max="2572" width="16.85546875" style="22" customWidth="1"/>
    <col min="2573" max="2573" width="14.5703125" style="22" customWidth="1"/>
    <col min="2574" max="2574" width="13.42578125" style="22" customWidth="1"/>
    <col min="2575" max="2575" width="14.140625" style="22" customWidth="1"/>
    <col min="2576" max="2576" width="13.5703125" style="22" customWidth="1"/>
    <col min="2577" max="2577" width="14.7109375" style="22" customWidth="1"/>
    <col min="2578" max="2578" width="16" style="22" customWidth="1"/>
    <col min="2579" max="2579" width="14.5703125" style="22" bestFit="1" customWidth="1"/>
    <col min="2580" max="2816" width="9.140625" style="22"/>
    <col min="2817" max="2817" width="7.42578125" style="22" customWidth="1"/>
    <col min="2818" max="2818" width="36.140625" style="22" customWidth="1"/>
    <col min="2819" max="2819" width="28.42578125" style="22" customWidth="1"/>
    <col min="2820" max="2820" width="26" style="22" customWidth="1"/>
    <col min="2821" max="2821" width="16" style="22" customWidth="1"/>
    <col min="2822" max="2823" width="14.28515625" style="22" customWidth="1"/>
    <col min="2824" max="2824" width="16.140625" style="22" customWidth="1"/>
    <col min="2825" max="2825" width="14.7109375" style="22" customWidth="1"/>
    <col min="2826" max="2826" width="14.5703125" style="22" customWidth="1"/>
    <col min="2827" max="2827" width="14" style="22" customWidth="1"/>
    <col min="2828" max="2828" width="16.85546875" style="22" customWidth="1"/>
    <col min="2829" max="2829" width="14.5703125" style="22" customWidth="1"/>
    <col min="2830" max="2830" width="13.42578125" style="22" customWidth="1"/>
    <col min="2831" max="2831" width="14.140625" style="22" customWidth="1"/>
    <col min="2832" max="2832" width="13.5703125" style="22" customWidth="1"/>
    <col min="2833" max="2833" width="14.7109375" style="22" customWidth="1"/>
    <col min="2834" max="2834" width="16" style="22" customWidth="1"/>
    <col min="2835" max="2835" width="14.5703125" style="22" bestFit="1" customWidth="1"/>
    <col min="2836" max="3072" width="9.140625" style="22"/>
    <col min="3073" max="3073" width="7.42578125" style="22" customWidth="1"/>
    <col min="3074" max="3074" width="36.140625" style="22" customWidth="1"/>
    <col min="3075" max="3075" width="28.42578125" style="22" customWidth="1"/>
    <col min="3076" max="3076" width="26" style="22" customWidth="1"/>
    <col min="3077" max="3077" width="16" style="22" customWidth="1"/>
    <col min="3078" max="3079" width="14.28515625" style="22" customWidth="1"/>
    <col min="3080" max="3080" width="16.140625" style="22" customWidth="1"/>
    <col min="3081" max="3081" width="14.7109375" style="22" customWidth="1"/>
    <col min="3082" max="3082" width="14.5703125" style="22" customWidth="1"/>
    <col min="3083" max="3083" width="14" style="22" customWidth="1"/>
    <col min="3084" max="3084" width="16.85546875" style="22" customWidth="1"/>
    <col min="3085" max="3085" width="14.5703125" style="22" customWidth="1"/>
    <col min="3086" max="3086" width="13.42578125" style="22" customWidth="1"/>
    <col min="3087" max="3087" width="14.140625" style="22" customWidth="1"/>
    <col min="3088" max="3088" width="13.5703125" style="22" customWidth="1"/>
    <col min="3089" max="3089" width="14.7109375" style="22" customWidth="1"/>
    <col min="3090" max="3090" width="16" style="22" customWidth="1"/>
    <col min="3091" max="3091" width="14.5703125" style="22" bestFit="1" customWidth="1"/>
    <col min="3092" max="3328" width="9.140625" style="22"/>
    <col min="3329" max="3329" width="7.42578125" style="22" customWidth="1"/>
    <col min="3330" max="3330" width="36.140625" style="22" customWidth="1"/>
    <col min="3331" max="3331" width="28.42578125" style="22" customWidth="1"/>
    <col min="3332" max="3332" width="26" style="22" customWidth="1"/>
    <col min="3333" max="3333" width="16" style="22" customWidth="1"/>
    <col min="3334" max="3335" width="14.28515625" style="22" customWidth="1"/>
    <col min="3336" max="3336" width="16.140625" style="22" customWidth="1"/>
    <col min="3337" max="3337" width="14.7109375" style="22" customWidth="1"/>
    <col min="3338" max="3338" width="14.5703125" style="22" customWidth="1"/>
    <col min="3339" max="3339" width="14" style="22" customWidth="1"/>
    <col min="3340" max="3340" width="16.85546875" style="22" customWidth="1"/>
    <col min="3341" max="3341" width="14.5703125" style="22" customWidth="1"/>
    <col min="3342" max="3342" width="13.42578125" style="22" customWidth="1"/>
    <col min="3343" max="3343" width="14.140625" style="22" customWidth="1"/>
    <col min="3344" max="3344" width="13.5703125" style="22" customWidth="1"/>
    <col min="3345" max="3345" width="14.7109375" style="22" customWidth="1"/>
    <col min="3346" max="3346" width="16" style="22" customWidth="1"/>
    <col min="3347" max="3347" width="14.5703125" style="22" bestFit="1" customWidth="1"/>
    <col min="3348" max="3584" width="9.140625" style="22"/>
    <col min="3585" max="3585" width="7.42578125" style="22" customWidth="1"/>
    <col min="3586" max="3586" width="36.140625" style="22" customWidth="1"/>
    <col min="3587" max="3587" width="28.42578125" style="22" customWidth="1"/>
    <col min="3588" max="3588" width="26" style="22" customWidth="1"/>
    <col min="3589" max="3589" width="16" style="22" customWidth="1"/>
    <col min="3590" max="3591" width="14.28515625" style="22" customWidth="1"/>
    <col min="3592" max="3592" width="16.140625" style="22" customWidth="1"/>
    <col min="3593" max="3593" width="14.7109375" style="22" customWidth="1"/>
    <col min="3594" max="3594" width="14.5703125" style="22" customWidth="1"/>
    <col min="3595" max="3595" width="14" style="22" customWidth="1"/>
    <col min="3596" max="3596" width="16.85546875" style="22" customWidth="1"/>
    <col min="3597" max="3597" width="14.5703125" style="22" customWidth="1"/>
    <col min="3598" max="3598" width="13.42578125" style="22" customWidth="1"/>
    <col min="3599" max="3599" width="14.140625" style="22" customWidth="1"/>
    <col min="3600" max="3600" width="13.5703125" style="22" customWidth="1"/>
    <col min="3601" max="3601" width="14.7109375" style="22" customWidth="1"/>
    <col min="3602" max="3602" width="16" style="22" customWidth="1"/>
    <col min="3603" max="3603" width="14.5703125" style="22" bestFit="1" customWidth="1"/>
    <col min="3604" max="3840" width="9.140625" style="22"/>
    <col min="3841" max="3841" width="7.42578125" style="22" customWidth="1"/>
    <col min="3842" max="3842" width="36.140625" style="22" customWidth="1"/>
    <col min="3843" max="3843" width="28.42578125" style="22" customWidth="1"/>
    <col min="3844" max="3844" width="26" style="22" customWidth="1"/>
    <col min="3845" max="3845" width="16" style="22" customWidth="1"/>
    <col min="3846" max="3847" width="14.28515625" style="22" customWidth="1"/>
    <col min="3848" max="3848" width="16.140625" style="22" customWidth="1"/>
    <col min="3849" max="3849" width="14.7109375" style="22" customWidth="1"/>
    <col min="3850" max="3850" width="14.5703125" style="22" customWidth="1"/>
    <col min="3851" max="3851" width="14" style="22" customWidth="1"/>
    <col min="3852" max="3852" width="16.85546875" style="22" customWidth="1"/>
    <col min="3853" max="3853" width="14.5703125" style="22" customWidth="1"/>
    <col min="3854" max="3854" width="13.42578125" style="22" customWidth="1"/>
    <col min="3855" max="3855" width="14.140625" style="22" customWidth="1"/>
    <col min="3856" max="3856" width="13.5703125" style="22" customWidth="1"/>
    <col min="3857" max="3857" width="14.7109375" style="22" customWidth="1"/>
    <col min="3858" max="3858" width="16" style="22" customWidth="1"/>
    <col min="3859" max="3859" width="14.5703125" style="22" bestFit="1" customWidth="1"/>
    <col min="3860" max="4096" width="9.140625" style="22"/>
    <col min="4097" max="4097" width="7.42578125" style="22" customWidth="1"/>
    <col min="4098" max="4098" width="36.140625" style="22" customWidth="1"/>
    <col min="4099" max="4099" width="28.42578125" style="22" customWidth="1"/>
    <col min="4100" max="4100" width="26" style="22" customWidth="1"/>
    <col min="4101" max="4101" width="16" style="22" customWidth="1"/>
    <col min="4102" max="4103" width="14.28515625" style="22" customWidth="1"/>
    <col min="4104" max="4104" width="16.140625" style="22" customWidth="1"/>
    <col min="4105" max="4105" width="14.7109375" style="22" customWidth="1"/>
    <col min="4106" max="4106" width="14.5703125" style="22" customWidth="1"/>
    <col min="4107" max="4107" width="14" style="22" customWidth="1"/>
    <col min="4108" max="4108" width="16.85546875" style="22" customWidth="1"/>
    <col min="4109" max="4109" width="14.5703125" style="22" customWidth="1"/>
    <col min="4110" max="4110" width="13.42578125" style="22" customWidth="1"/>
    <col min="4111" max="4111" width="14.140625" style="22" customWidth="1"/>
    <col min="4112" max="4112" width="13.5703125" style="22" customWidth="1"/>
    <col min="4113" max="4113" width="14.7109375" style="22" customWidth="1"/>
    <col min="4114" max="4114" width="16" style="22" customWidth="1"/>
    <col min="4115" max="4115" width="14.5703125" style="22" bestFit="1" customWidth="1"/>
    <col min="4116" max="4352" width="9.140625" style="22"/>
    <col min="4353" max="4353" width="7.42578125" style="22" customWidth="1"/>
    <col min="4354" max="4354" width="36.140625" style="22" customWidth="1"/>
    <col min="4355" max="4355" width="28.42578125" style="22" customWidth="1"/>
    <col min="4356" max="4356" width="26" style="22" customWidth="1"/>
    <col min="4357" max="4357" width="16" style="22" customWidth="1"/>
    <col min="4358" max="4359" width="14.28515625" style="22" customWidth="1"/>
    <col min="4360" max="4360" width="16.140625" style="22" customWidth="1"/>
    <col min="4361" max="4361" width="14.7109375" style="22" customWidth="1"/>
    <col min="4362" max="4362" width="14.5703125" style="22" customWidth="1"/>
    <col min="4363" max="4363" width="14" style="22" customWidth="1"/>
    <col min="4364" max="4364" width="16.85546875" style="22" customWidth="1"/>
    <col min="4365" max="4365" width="14.5703125" style="22" customWidth="1"/>
    <col min="4366" max="4366" width="13.42578125" style="22" customWidth="1"/>
    <col min="4367" max="4367" width="14.140625" style="22" customWidth="1"/>
    <col min="4368" max="4368" width="13.5703125" style="22" customWidth="1"/>
    <col min="4369" max="4369" width="14.7109375" style="22" customWidth="1"/>
    <col min="4370" max="4370" width="16" style="22" customWidth="1"/>
    <col min="4371" max="4371" width="14.5703125" style="22" bestFit="1" customWidth="1"/>
    <col min="4372" max="4608" width="9.140625" style="22"/>
    <col min="4609" max="4609" width="7.42578125" style="22" customWidth="1"/>
    <col min="4610" max="4610" width="36.140625" style="22" customWidth="1"/>
    <col min="4611" max="4611" width="28.42578125" style="22" customWidth="1"/>
    <col min="4612" max="4612" width="26" style="22" customWidth="1"/>
    <col min="4613" max="4613" width="16" style="22" customWidth="1"/>
    <col min="4614" max="4615" width="14.28515625" style="22" customWidth="1"/>
    <col min="4616" max="4616" width="16.140625" style="22" customWidth="1"/>
    <col min="4617" max="4617" width="14.7109375" style="22" customWidth="1"/>
    <col min="4618" max="4618" width="14.5703125" style="22" customWidth="1"/>
    <col min="4619" max="4619" width="14" style="22" customWidth="1"/>
    <col min="4620" max="4620" width="16.85546875" style="22" customWidth="1"/>
    <col min="4621" max="4621" width="14.5703125" style="22" customWidth="1"/>
    <col min="4622" max="4622" width="13.42578125" style="22" customWidth="1"/>
    <col min="4623" max="4623" width="14.140625" style="22" customWidth="1"/>
    <col min="4624" max="4624" width="13.5703125" style="22" customWidth="1"/>
    <col min="4625" max="4625" width="14.7109375" style="22" customWidth="1"/>
    <col min="4626" max="4626" width="16" style="22" customWidth="1"/>
    <col min="4627" max="4627" width="14.5703125" style="22" bestFit="1" customWidth="1"/>
    <col min="4628" max="4864" width="9.140625" style="22"/>
    <col min="4865" max="4865" width="7.42578125" style="22" customWidth="1"/>
    <col min="4866" max="4866" width="36.140625" style="22" customWidth="1"/>
    <col min="4867" max="4867" width="28.42578125" style="22" customWidth="1"/>
    <col min="4868" max="4868" width="26" style="22" customWidth="1"/>
    <col min="4869" max="4869" width="16" style="22" customWidth="1"/>
    <col min="4870" max="4871" width="14.28515625" style="22" customWidth="1"/>
    <col min="4872" max="4872" width="16.140625" style="22" customWidth="1"/>
    <col min="4873" max="4873" width="14.7109375" style="22" customWidth="1"/>
    <col min="4874" max="4874" width="14.5703125" style="22" customWidth="1"/>
    <col min="4875" max="4875" width="14" style="22" customWidth="1"/>
    <col min="4876" max="4876" width="16.85546875" style="22" customWidth="1"/>
    <col min="4877" max="4877" width="14.5703125" style="22" customWidth="1"/>
    <col min="4878" max="4878" width="13.42578125" style="22" customWidth="1"/>
    <col min="4879" max="4879" width="14.140625" style="22" customWidth="1"/>
    <col min="4880" max="4880" width="13.5703125" style="22" customWidth="1"/>
    <col min="4881" max="4881" width="14.7109375" style="22" customWidth="1"/>
    <col min="4882" max="4882" width="16" style="22" customWidth="1"/>
    <col min="4883" max="4883" width="14.5703125" style="22" bestFit="1" customWidth="1"/>
    <col min="4884" max="5120" width="9.140625" style="22"/>
    <col min="5121" max="5121" width="7.42578125" style="22" customWidth="1"/>
    <col min="5122" max="5122" width="36.140625" style="22" customWidth="1"/>
    <col min="5123" max="5123" width="28.42578125" style="22" customWidth="1"/>
    <col min="5124" max="5124" width="26" style="22" customWidth="1"/>
    <col min="5125" max="5125" width="16" style="22" customWidth="1"/>
    <col min="5126" max="5127" width="14.28515625" style="22" customWidth="1"/>
    <col min="5128" max="5128" width="16.140625" style="22" customWidth="1"/>
    <col min="5129" max="5129" width="14.7109375" style="22" customWidth="1"/>
    <col min="5130" max="5130" width="14.5703125" style="22" customWidth="1"/>
    <col min="5131" max="5131" width="14" style="22" customWidth="1"/>
    <col min="5132" max="5132" width="16.85546875" style="22" customWidth="1"/>
    <col min="5133" max="5133" width="14.5703125" style="22" customWidth="1"/>
    <col min="5134" max="5134" width="13.42578125" style="22" customWidth="1"/>
    <col min="5135" max="5135" width="14.140625" style="22" customWidth="1"/>
    <col min="5136" max="5136" width="13.5703125" style="22" customWidth="1"/>
    <col min="5137" max="5137" width="14.7109375" style="22" customWidth="1"/>
    <col min="5138" max="5138" width="16" style="22" customWidth="1"/>
    <col min="5139" max="5139" width="14.5703125" style="22" bestFit="1" customWidth="1"/>
    <col min="5140" max="5376" width="9.140625" style="22"/>
    <col min="5377" max="5377" width="7.42578125" style="22" customWidth="1"/>
    <col min="5378" max="5378" width="36.140625" style="22" customWidth="1"/>
    <col min="5379" max="5379" width="28.42578125" style="22" customWidth="1"/>
    <col min="5380" max="5380" width="26" style="22" customWidth="1"/>
    <col min="5381" max="5381" width="16" style="22" customWidth="1"/>
    <col min="5382" max="5383" width="14.28515625" style="22" customWidth="1"/>
    <col min="5384" max="5384" width="16.140625" style="22" customWidth="1"/>
    <col min="5385" max="5385" width="14.7109375" style="22" customWidth="1"/>
    <col min="5386" max="5386" width="14.5703125" style="22" customWidth="1"/>
    <col min="5387" max="5387" width="14" style="22" customWidth="1"/>
    <col min="5388" max="5388" width="16.85546875" style="22" customWidth="1"/>
    <col min="5389" max="5389" width="14.5703125" style="22" customWidth="1"/>
    <col min="5390" max="5390" width="13.42578125" style="22" customWidth="1"/>
    <col min="5391" max="5391" width="14.140625" style="22" customWidth="1"/>
    <col min="5392" max="5392" width="13.5703125" style="22" customWidth="1"/>
    <col min="5393" max="5393" width="14.7109375" style="22" customWidth="1"/>
    <col min="5394" max="5394" width="16" style="22" customWidth="1"/>
    <col min="5395" max="5395" width="14.5703125" style="22" bestFit="1" customWidth="1"/>
    <col min="5396" max="5632" width="9.140625" style="22"/>
    <col min="5633" max="5633" width="7.42578125" style="22" customWidth="1"/>
    <col min="5634" max="5634" width="36.140625" style="22" customWidth="1"/>
    <col min="5635" max="5635" width="28.42578125" style="22" customWidth="1"/>
    <col min="5636" max="5636" width="26" style="22" customWidth="1"/>
    <col min="5637" max="5637" width="16" style="22" customWidth="1"/>
    <col min="5638" max="5639" width="14.28515625" style="22" customWidth="1"/>
    <col min="5640" max="5640" width="16.140625" style="22" customWidth="1"/>
    <col min="5641" max="5641" width="14.7109375" style="22" customWidth="1"/>
    <col min="5642" max="5642" width="14.5703125" style="22" customWidth="1"/>
    <col min="5643" max="5643" width="14" style="22" customWidth="1"/>
    <col min="5644" max="5644" width="16.85546875" style="22" customWidth="1"/>
    <col min="5645" max="5645" width="14.5703125" style="22" customWidth="1"/>
    <col min="5646" max="5646" width="13.42578125" style="22" customWidth="1"/>
    <col min="5647" max="5647" width="14.140625" style="22" customWidth="1"/>
    <col min="5648" max="5648" width="13.5703125" style="22" customWidth="1"/>
    <col min="5649" max="5649" width="14.7109375" style="22" customWidth="1"/>
    <col min="5650" max="5650" width="16" style="22" customWidth="1"/>
    <col min="5651" max="5651" width="14.5703125" style="22" bestFit="1" customWidth="1"/>
    <col min="5652" max="5888" width="9.140625" style="22"/>
    <col min="5889" max="5889" width="7.42578125" style="22" customWidth="1"/>
    <col min="5890" max="5890" width="36.140625" style="22" customWidth="1"/>
    <col min="5891" max="5891" width="28.42578125" style="22" customWidth="1"/>
    <col min="5892" max="5892" width="26" style="22" customWidth="1"/>
    <col min="5893" max="5893" width="16" style="22" customWidth="1"/>
    <col min="5894" max="5895" width="14.28515625" style="22" customWidth="1"/>
    <col min="5896" max="5896" width="16.140625" style="22" customWidth="1"/>
    <col min="5897" max="5897" width="14.7109375" style="22" customWidth="1"/>
    <col min="5898" max="5898" width="14.5703125" style="22" customWidth="1"/>
    <col min="5899" max="5899" width="14" style="22" customWidth="1"/>
    <col min="5900" max="5900" width="16.85546875" style="22" customWidth="1"/>
    <col min="5901" max="5901" width="14.5703125" style="22" customWidth="1"/>
    <col min="5902" max="5902" width="13.42578125" style="22" customWidth="1"/>
    <col min="5903" max="5903" width="14.140625" style="22" customWidth="1"/>
    <col min="5904" max="5904" width="13.5703125" style="22" customWidth="1"/>
    <col min="5905" max="5905" width="14.7109375" style="22" customWidth="1"/>
    <col min="5906" max="5906" width="16" style="22" customWidth="1"/>
    <col min="5907" max="5907" width="14.5703125" style="22" bestFit="1" customWidth="1"/>
    <col min="5908" max="6144" width="9.140625" style="22"/>
    <col min="6145" max="6145" width="7.42578125" style="22" customWidth="1"/>
    <col min="6146" max="6146" width="36.140625" style="22" customWidth="1"/>
    <col min="6147" max="6147" width="28.42578125" style="22" customWidth="1"/>
    <col min="6148" max="6148" width="26" style="22" customWidth="1"/>
    <col min="6149" max="6149" width="16" style="22" customWidth="1"/>
    <col min="6150" max="6151" width="14.28515625" style="22" customWidth="1"/>
    <col min="6152" max="6152" width="16.140625" style="22" customWidth="1"/>
    <col min="6153" max="6153" width="14.7109375" style="22" customWidth="1"/>
    <col min="6154" max="6154" width="14.5703125" style="22" customWidth="1"/>
    <col min="6155" max="6155" width="14" style="22" customWidth="1"/>
    <col min="6156" max="6156" width="16.85546875" style="22" customWidth="1"/>
    <col min="6157" max="6157" width="14.5703125" style="22" customWidth="1"/>
    <col min="6158" max="6158" width="13.42578125" style="22" customWidth="1"/>
    <col min="6159" max="6159" width="14.140625" style="22" customWidth="1"/>
    <col min="6160" max="6160" width="13.5703125" style="22" customWidth="1"/>
    <col min="6161" max="6161" width="14.7109375" style="22" customWidth="1"/>
    <col min="6162" max="6162" width="16" style="22" customWidth="1"/>
    <col min="6163" max="6163" width="14.5703125" style="22" bestFit="1" customWidth="1"/>
    <col min="6164" max="6400" width="9.140625" style="22"/>
    <col min="6401" max="6401" width="7.42578125" style="22" customWidth="1"/>
    <col min="6402" max="6402" width="36.140625" style="22" customWidth="1"/>
    <col min="6403" max="6403" width="28.42578125" style="22" customWidth="1"/>
    <col min="6404" max="6404" width="26" style="22" customWidth="1"/>
    <col min="6405" max="6405" width="16" style="22" customWidth="1"/>
    <col min="6406" max="6407" width="14.28515625" style="22" customWidth="1"/>
    <col min="6408" max="6408" width="16.140625" style="22" customWidth="1"/>
    <col min="6409" max="6409" width="14.7109375" style="22" customWidth="1"/>
    <col min="6410" max="6410" width="14.5703125" style="22" customWidth="1"/>
    <col min="6411" max="6411" width="14" style="22" customWidth="1"/>
    <col min="6412" max="6412" width="16.85546875" style="22" customWidth="1"/>
    <col min="6413" max="6413" width="14.5703125" style="22" customWidth="1"/>
    <col min="6414" max="6414" width="13.42578125" style="22" customWidth="1"/>
    <col min="6415" max="6415" width="14.140625" style="22" customWidth="1"/>
    <col min="6416" max="6416" width="13.5703125" style="22" customWidth="1"/>
    <col min="6417" max="6417" width="14.7109375" style="22" customWidth="1"/>
    <col min="6418" max="6418" width="16" style="22" customWidth="1"/>
    <col min="6419" max="6419" width="14.5703125" style="22" bestFit="1" customWidth="1"/>
    <col min="6420" max="6656" width="9.140625" style="22"/>
    <col min="6657" max="6657" width="7.42578125" style="22" customWidth="1"/>
    <col min="6658" max="6658" width="36.140625" style="22" customWidth="1"/>
    <col min="6659" max="6659" width="28.42578125" style="22" customWidth="1"/>
    <col min="6660" max="6660" width="26" style="22" customWidth="1"/>
    <col min="6661" max="6661" width="16" style="22" customWidth="1"/>
    <col min="6662" max="6663" width="14.28515625" style="22" customWidth="1"/>
    <col min="6664" max="6664" width="16.140625" style="22" customWidth="1"/>
    <col min="6665" max="6665" width="14.7109375" style="22" customWidth="1"/>
    <col min="6666" max="6666" width="14.5703125" style="22" customWidth="1"/>
    <col min="6667" max="6667" width="14" style="22" customWidth="1"/>
    <col min="6668" max="6668" width="16.85546875" style="22" customWidth="1"/>
    <col min="6669" max="6669" width="14.5703125" style="22" customWidth="1"/>
    <col min="6670" max="6670" width="13.42578125" style="22" customWidth="1"/>
    <col min="6671" max="6671" width="14.140625" style="22" customWidth="1"/>
    <col min="6672" max="6672" width="13.5703125" style="22" customWidth="1"/>
    <col min="6673" max="6673" width="14.7109375" style="22" customWidth="1"/>
    <col min="6674" max="6674" width="16" style="22" customWidth="1"/>
    <col min="6675" max="6675" width="14.5703125" style="22" bestFit="1" customWidth="1"/>
    <col min="6676" max="6912" width="9.140625" style="22"/>
    <col min="6913" max="6913" width="7.42578125" style="22" customWidth="1"/>
    <col min="6914" max="6914" width="36.140625" style="22" customWidth="1"/>
    <col min="6915" max="6915" width="28.42578125" style="22" customWidth="1"/>
    <col min="6916" max="6916" width="26" style="22" customWidth="1"/>
    <col min="6917" max="6917" width="16" style="22" customWidth="1"/>
    <col min="6918" max="6919" width="14.28515625" style="22" customWidth="1"/>
    <col min="6920" max="6920" width="16.140625" style="22" customWidth="1"/>
    <col min="6921" max="6921" width="14.7109375" style="22" customWidth="1"/>
    <col min="6922" max="6922" width="14.5703125" style="22" customWidth="1"/>
    <col min="6923" max="6923" width="14" style="22" customWidth="1"/>
    <col min="6924" max="6924" width="16.85546875" style="22" customWidth="1"/>
    <col min="6925" max="6925" width="14.5703125" style="22" customWidth="1"/>
    <col min="6926" max="6926" width="13.42578125" style="22" customWidth="1"/>
    <col min="6927" max="6927" width="14.140625" style="22" customWidth="1"/>
    <col min="6928" max="6928" width="13.5703125" style="22" customWidth="1"/>
    <col min="6929" max="6929" width="14.7109375" style="22" customWidth="1"/>
    <col min="6930" max="6930" width="16" style="22" customWidth="1"/>
    <col min="6931" max="6931" width="14.5703125" style="22" bestFit="1" customWidth="1"/>
    <col min="6932" max="7168" width="9.140625" style="22"/>
    <col min="7169" max="7169" width="7.42578125" style="22" customWidth="1"/>
    <col min="7170" max="7170" width="36.140625" style="22" customWidth="1"/>
    <col min="7171" max="7171" width="28.42578125" style="22" customWidth="1"/>
    <col min="7172" max="7172" width="26" style="22" customWidth="1"/>
    <col min="7173" max="7173" width="16" style="22" customWidth="1"/>
    <col min="7174" max="7175" width="14.28515625" style="22" customWidth="1"/>
    <col min="7176" max="7176" width="16.140625" style="22" customWidth="1"/>
    <col min="7177" max="7177" width="14.7109375" style="22" customWidth="1"/>
    <col min="7178" max="7178" width="14.5703125" style="22" customWidth="1"/>
    <col min="7179" max="7179" width="14" style="22" customWidth="1"/>
    <col min="7180" max="7180" width="16.85546875" style="22" customWidth="1"/>
    <col min="7181" max="7181" width="14.5703125" style="22" customWidth="1"/>
    <col min="7182" max="7182" width="13.42578125" style="22" customWidth="1"/>
    <col min="7183" max="7183" width="14.140625" style="22" customWidth="1"/>
    <col min="7184" max="7184" width="13.5703125" style="22" customWidth="1"/>
    <col min="7185" max="7185" width="14.7109375" style="22" customWidth="1"/>
    <col min="7186" max="7186" width="16" style="22" customWidth="1"/>
    <col min="7187" max="7187" width="14.5703125" style="22" bestFit="1" customWidth="1"/>
    <col min="7188" max="7424" width="9.140625" style="22"/>
    <col min="7425" max="7425" width="7.42578125" style="22" customWidth="1"/>
    <col min="7426" max="7426" width="36.140625" style="22" customWidth="1"/>
    <col min="7427" max="7427" width="28.42578125" style="22" customWidth="1"/>
    <col min="7428" max="7428" width="26" style="22" customWidth="1"/>
    <col min="7429" max="7429" width="16" style="22" customWidth="1"/>
    <col min="7430" max="7431" width="14.28515625" style="22" customWidth="1"/>
    <col min="7432" max="7432" width="16.140625" style="22" customWidth="1"/>
    <col min="7433" max="7433" width="14.7109375" style="22" customWidth="1"/>
    <col min="7434" max="7434" width="14.5703125" style="22" customWidth="1"/>
    <col min="7435" max="7435" width="14" style="22" customWidth="1"/>
    <col min="7436" max="7436" width="16.85546875" style="22" customWidth="1"/>
    <col min="7437" max="7437" width="14.5703125" style="22" customWidth="1"/>
    <col min="7438" max="7438" width="13.42578125" style="22" customWidth="1"/>
    <col min="7439" max="7439" width="14.140625" style="22" customWidth="1"/>
    <col min="7440" max="7440" width="13.5703125" style="22" customWidth="1"/>
    <col min="7441" max="7441" width="14.7109375" style="22" customWidth="1"/>
    <col min="7442" max="7442" width="16" style="22" customWidth="1"/>
    <col min="7443" max="7443" width="14.5703125" style="22" bestFit="1" customWidth="1"/>
    <col min="7444" max="7680" width="9.140625" style="22"/>
    <col min="7681" max="7681" width="7.42578125" style="22" customWidth="1"/>
    <col min="7682" max="7682" width="36.140625" style="22" customWidth="1"/>
    <col min="7683" max="7683" width="28.42578125" style="22" customWidth="1"/>
    <col min="7684" max="7684" width="26" style="22" customWidth="1"/>
    <col min="7685" max="7685" width="16" style="22" customWidth="1"/>
    <col min="7686" max="7687" width="14.28515625" style="22" customWidth="1"/>
    <col min="7688" max="7688" width="16.140625" style="22" customWidth="1"/>
    <col min="7689" max="7689" width="14.7109375" style="22" customWidth="1"/>
    <col min="7690" max="7690" width="14.5703125" style="22" customWidth="1"/>
    <col min="7691" max="7691" width="14" style="22" customWidth="1"/>
    <col min="7692" max="7692" width="16.85546875" style="22" customWidth="1"/>
    <col min="7693" max="7693" width="14.5703125" style="22" customWidth="1"/>
    <col min="7694" max="7694" width="13.42578125" style="22" customWidth="1"/>
    <col min="7695" max="7695" width="14.140625" style="22" customWidth="1"/>
    <col min="7696" max="7696" width="13.5703125" style="22" customWidth="1"/>
    <col min="7697" max="7697" width="14.7109375" style="22" customWidth="1"/>
    <col min="7698" max="7698" width="16" style="22" customWidth="1"/>
    <col min="7699" max="7699" width="14.5703125" style="22" bestFit="1" customWidth="1"/>
    <col min="7700" max="7936" width="9.140625" style="22"/>
    <col min="7937" max="7937" width="7.42578125" style="22" customWidth="1"/>
    <col min="7938" max="7938" width="36.140625" style="22" customWidth="1"/>
    <col min="7939" max="7939" width="28.42578125" style="22" customWidth="1"/>
    <col min="7940" max="7940" width="26" style="22" customWidth="1"/>
    <col min="7941" max="7941" width="16" style="22" customWidth="1"/>
    <col min="7942" max="7943" width="14.28515625" style="22" customWidth="1"/>
    <col min="7944" max="7944" width="16.140625" style="22" customWidth="1"/>
    <col min="7945" max="7945" width="14.7109375" style="22" customWidth="1"/>
    <col min="7946" max="7946" width="14.5703125" style="22" customWidth="1"/>
    <col min="7947" max="7947" width="14" style="22" customWidth="1"/>
    <col min="7948" max="7948" width="16.85546875" style="22" customWidth="1"/>
    <col min="7949" max="7949" width="14.5703125" style="22" customWidth="1"/>
    <col min="7950" max="7950" width="13.42578125" style="22" customWidth="1"/>
    <col min="7951" max="7951" width="14.140625" style="22" customWidth="1"/>
    <col min="7952" max="7952" width="13.5703125" style="22" customWidth="1"/>
    <col min="7953" max="7953" width="14.7109375" style="22" customWidth="1"/>
    <col min="7954" max="7954" width="16" style="22" customWidth="1"/>
    <col min="7955" max="7955" width="14.5703125" style="22" bestFit="1" customWidth="1"/>
    <col min="7956" max="8192" width="9.140625" style="22"/>
    <col min="8193" max="8193" width="7.42578125" style="22" customWidth="1"/>
    <col min="8194" max="8194" width="36.140625" style="22" customWidth="1"/>
    <col min="8195" max="8195" width="28.42578125" style="22" customWidth="1"/>
    <col min="8196" max="8196" width="26" style="22" customWidth="1"/>
    <col min="8197" max="8197" width="16" style="22" customWidth="1"/>
    <col min="8198" max="8199" width="14.28515625" style="22" customWidth="1"/>
    <col min="8200" max="8200" width="16.140625" style="22" customWidth="1"/>
    <col min="8201" max="8201" width="14.7109375" style="22" customWidth="1"/>
    <col min="8202" max="8202" width="14.5703125" style="22" customWidth="1"/>
    <col min="8203" max="8203" width="14" style="22" customWidth="1"/>
    <col min="8204" max="8204" width="16.85546875" style="22" customWidth="1"/>
    <col min="8205" max="8205" width="14.5703125" style="22" customWidth="1"/>
    <col min="8206" max="8206" width="13.42578125" style="22" customWidth="1"/>
    <col min="8207" max="8207" width="14.140625" style="22" customWidth="1"/>
    <col min="8208" max="8208" width="13.5703125" style="22" customWidth="1"/>
    <col min="8209" max="8209" width="14.7109375" style="22" customWidth="1"/>
    <col min="8210" max="8210" width="16" style="22" customWidth="1"/>
    <col min="8211" max="8211" width="14.5703125" style="22" bestFit="1" customWidth="1"/>
    <col min="8212" max="8448" width="9.140625" style="22"/>
    <col min="8449" max="8449" width="7.42578125" style="22" customWidth="1"/>
    <col min="8450" max="8450" width="36.140625" style="22" customWidth="1"/>
    <col min="8451" max="8451" width="28.42578125" style="22" customWidth="1"/>
    <col min="8452" max="8452" width="26" style="22" customWidth="1"/>
    <col min="8453" max="8453" width="16" style="22" customWidth="1"/>
    <col min="8454" max="8455" width="14.28515625" style="22" customWidth="1"/>
    <col min="8456" max="8456" width="16.140625" style="22" customWidth="1"/>
    <col min="8457" max="8457" width="14.7109375" style="22" customWidth="1"/>
    <col min="8458" max="8458" width="14.5703125" style="22" customWidth="1"/>
    <col min="8459" max="8459" width="14" style="22" customWidth="1"/>
    <col min="8460" max="8460" width="16.85546875" style="22" customWidth="1"/>
    <col min="8461" max="8461" width="14.5703125" style="22" customWidth="1"/>
    <col min="8462" max="8462" width="13.42578125" style="22" customWidth="1"/>
    <col min="8463" max="8463" width="14.140625" style="22" customWidth="1"/>
    <col min="8464" max="8464" width="13.5703125" style="22" customWidth="1"/>
    <col min="8465" max="8465" width="14.7109375" style="22" customWidth="1"/>
    <col min="8466" max="8466" width="16" style="22" customWidth="1"/>
    <col min="8467" max="8467" width="14.5703125" style="22" bestFit="1" customWidth="1"/>
    <col min="8468" max="8704" width="9.140625" style="22"/>
    <col min="8705" max="8705" width="7.42578125" style="22" customWidth="1"/>
    <col min="8706" max="8706" width="36.140625" style="22" customWidth="1"/>
    <col min="8707" max="8707" width="28.42578125" style="22" customWidth="1"/>
    <col min="8708" max="8708" width="26" style="22" customWidth="1"/>
    <col min="8709" max="8709" width="16" style="22" customWidth="1"/>
    <col min="8710" max="8711" width="14.28515625" style="22" customWidth="1"/>
    <col min="8712" max="8712" width="16.140625" style="22" customWidth="1"/>
    <col min="8713" max="8713" width="14.7109375" style="22" customWidth="1"/>
    <col min="8714" max="8714" width="14.5703125" style="22" customWidth="1"/>
    <col min="8715" max="8715" width="14" style="22" customWidth="1"/>
    <col min="8716" max="8716" width="16.85546875" style="22" customWidth="1"/>
    <col min="8717" max="8717" width="14.5703125" style="22" customWidth="1"/>
    <col min="8718" max="8718" width="13.42578125" style="22" customWidth="1"/>
    <col min="8719" max="8719" width="14.140625" style="22" customWidth="1"/>
    <col min="8720" max="8720" width="13.5703125" style="22" customWidth="1"/>
    <col min="8721" max="8721" width="14.7109375" style="22" customWidth="1"/>
    <col min="8722" max="8722" width="16" style="22" customWidth="1"/>
    <col min="8723" max="8723" width="14.5703125" style="22" bestFit="1" customWidth="1"/>
    <col min="8724" max="8960" width="9.140625" style="22"/>
    <col min="8961" max="8961" width="7.42578125" style="22" customWidth="1"/>
    <col min="8962" max="8962" width="36.140625" style="22" customWidth="1"/>
    <col min="8963" max="8963" width="28.42578125" style="22" customWidth="1"/>
    <col min="8964" max="8964" width="26" style="22" customWidth="1"/>
    <col min="8965" max="8965" width="16" style="22" customWidth="1"/>
    <col min="8966" max="8967" width="14.28515625" style="22" customWidth="1"/>
    <col min="8968" max="8968" width="16.140625" style="22" customWidth="1"/>
    <col min="8969" max="8969" width="14.7109375" style="22" customWidth="1"/>
    <col min="8970" max="8970" width="14.5703125" style="22" customWidth="1"/>
    <col min="8971" max="8971" width="14" style="22" customWidth="1"/>
    <col min="8972" max="8972" width="16.85546875" style="22" customWidth="1"/>
    <col min="8973" max="8973" width="14.5703125" style="22" customWidth="1"/>
    <col min="8974" max="8974" width="13.42578125" style="22" customWidth="1"/>
    <col min="8975" max="8975" width="14.140625" style="22" customWidth="1"/>
    <col min="8976" max="8976" width="13.5703125" style="22" customWidth="1"/>
    <col min="8977" max="8977" width="14.7109375" style="22" customWidth="1"/>
    <col min="8978" max="8978" width="16" style="22" customWidth="1"/>
    <col min="8979" max="8979" width="14.5703125" style="22" bestFit="1" customWidth="1"/>
    <col min="8980" max="9216" width="9.140625" style="22"/>
    <col min="9217" max="9217" width="7.42578125" style="22" customWidth="1"/>
    <col min="9218" max="9218" width="36.140625" style="22" customWidth="1"/>
    <col min="9219" max="9219" width="28.42578125" style="22" customWidth="1"/>
    <col min="9220" max="9220" width="26" style="22" customWidth="1"/>
    <col min="9221" max="9221" width="16" style="22" customWidth="1"/>
    <col min="9222" max="9223" width="14.28515625" style="22" customWidth="1"/>
    <col min="9224" max="9224" width="16.140625" style="22" customWidth="1"/>
    <col min="9225" max="9225" width="14.7109375" style="22" customWidth="1"/>
    <col min="9226" max="9226" width="14.5703125" style="22" customWidth="1"/>
    <col min="9227" max="9227" width="14" style="22" customWidth="1"/>
    <col min="9228" max="9228" width="16.85546875" style="22" customWidth="1"/>
    <col min="9229" max="9229" width="14.5703125" style="22" customWidth="1"/>
    <col min="9230" max="9230" width="13.42578125" style="22" customWidth="1"/>
    <col min="9231" max="9231" width="14.140625" style="22" customWidth="1"/>
    <col min="9232" max="9232" width="13.5703125" style="22" customWidth="1"/>
    <col min="9233" max="9233" width="14.7109375" style="22" customWidth="1"/>
    <col min="9234" max="9234" width="16" style="22" customWidth="1"/>
    <col min="9235" max="9235" width="14.5703125" style="22" bestFit="1" customWidth="1"/>
    <col min="9236" max="9472" width="9.140625" style="22"/>
    <col min="9473" max="9473" width="7.42578125" style="22" customWidth="1"/>
    <col min="9474" max="9474" width="36.140625" style="22" customWidth="1"/>
    <col min="9475" max="9475" width="28.42578125" style="22" customWidth="1"/>
    <col min="9476" max="9476" width="26" style="22" customWidth="1"/>
    <col min="9477" max="9477" width="16" style="22" customWidth="1"/>
    <col min="9478" max="9479" width="14.28515625" style="22" customWidth="1"/>
    <col min="9480" max="9480" width="16.140625" style="22" customWidth="1"/>
    <col min="9481" max="9481" width="14.7109375" style="22" customWidth="1"/>
    <col min="9482" max="9482" width="14.5703125" style="22" customWidth="1"/>
    <col min="9483" max="9483" width="14" style="22" customWidth="1"/>
    <col min="9484" max="9484" width="16.85546875" style="22" customWidth="1"/>
    <col min="9485" max="9485" width="14.5703125" style="22" customWidth="1"/>
    <col min="9486" max="9486" width="13.42578125" style="22" customWidth="1"/>
    <col min="9487" max="9487" width="14.140625" style="22" customWidth="1"/>
    <col min="9488" max="9488" width="13.5703125" style="22" customWidth="1"/>
    <col min="9489" max="9489" width="14.7109375" style="22" customWidth="1"/>
    <col min="9490" max="9490" width="16" style="22" customWidth="1"/>
    <col min="9491" max="9491" width="14.5703125" style="22" bestFit="1" customWidth="1"/>
    <col min="9492" max="9728" width="9.140625" style="22"/>
    <col min="9729" max="9729" width="7.42578125" style="22" customWidth="1"/>
    <col min="9730" max="9730" width="36.140625" style="22" customWidth="1"/>
    <col min="9731" max="9731" width="28.42578125" style="22" customWidth="1"/>
    <col min="9732" max="9732" width="26" style="22" customWidth="1"/>
    <col min="9733" max="9733" width="16" style="22" customWidth="1"/>
    <col min="9734" max="9735" width="14.28515625" style="22" customWidth="1"/>
    <col min="9736" max="9736" width="16.140625" style="22" customWidth="1"/>
    <col min="9737" max="9737" width="14.7109375" style="22" customWidth="1"/>
    <col min="9738" max="9738" width="14.5703125" style="22" customWidth="1"/>
    <col min="9739" max="9739" width="14" style="22" customWidth="1"/>
    <col min="9740" max="9740" width="16.85546875" style="22" customWidth="1"/>
    <col min="9741" max="9741" width="14.5703125" style="22" customWidth="1"/>
    <col min="9742" max="9742" width="13.42578125" style="22" customWidth="1"/>
    <col min="9743" max="9743" width="14.140625" style="22" customWidth="1"/>
    <col min="9744" max="9744" width="13.5703125" style="22" customWidth="1"/>
    <col min="9745" max="9745" width="14.7109375" style="22" customWidth="1"/>
    <col min="9746" max="9746" width="16" style="22" customWidth="1"/>
    <col min="9747" max="9747" width="14.5703125" style="22" bestFit="1" customWidth="1"/>
    <col min="9748" max="9984" width="9.140625" style="22"/>
    <col min="9985" max="9985" width="7.42578125" style="22" customWidth="1"/>
    <col min="9986" max="9986" width="36.140625" style="22" customWidth="1"/>
    <col min="9987" max="9987" width="28.42578125" style="22" customWidth="1"/>
    <col min="9988" max="9988" width="26" style="22" customWidth="1"/>
    <col min="9989" max="9989" width="16" style="22" customWidth="1"/>
    <col min="9990" max="9991" width="14.28515625" style="22" customWidth="1"/>
    <col min="9992" max="9992" width="16.140625" style="22" customWidth="1"/>
    <col min="9993" max="9993" width="14.7109375" style="22" customWidth="1"/>
    <col min="9994" max="9994" width="14.5703125" style="22" customWidth="1"/>
    <col min="9995" max="9995" width="14" style="22" customWidth="1"/>
    <col min="9996" max="9996" width="16.85546875" style="22" customWidth="1"/>
    <col min="9997" max="9997" width="14.5703125" style="22" customWidth="1"/>
    <col min="9998" max="9998" width="13.42578125" style="22" customWidth="1"/>
    <col min="9999" max="9999" width="14.140625" style="22" customWidth="1"/>
    <col min="10000" max="10000" width="13.5703125" style="22" customWidth="1"/>
    <col min="10001" max="10001" width="14.7109375" style="22" customWidth="1"/>
    <col min="10002" max="10002" width="16" style="22" customWidth="1"/>
    <col min="10003" max="10003" width="14.5703125" style="22" bestFit="1" customWidth="1"/>
    <col min="10004" max="10240" width="9.140625" style="22"/>
    <col min="10241" max="10241" width="7.42578125" style="22" customWidth="1"/>
    <col min="10242" max="10242" width="36.140625" style="22" customWidth="1"/>
    <col min="10243" max="10243" width="28.42578125" style="22" customWidth="1"/>
    <col min="10244" max="10244" width="26" style="22" customWidth="1"/>
    <col min="10245" max="10245" width="16" style="22" customWidth="1"/>
    <col min="10246" max="10247" width="14.28515625" style="22" customWidth="1"/>
    <col min="10248" max="10248" width="16.140625" style="22" customWidth="1"/>
    <col min="10249" max="10249" width="14.7109375" style="22" customWidth="1"/>
    <col min="10250" max="10250" width="14.5703125" style="22" customWidth="1"/>
    <col min="10251" max="10251" width="14" style="22" customWidth="1"/>
    <col min="10252" max="10252" width="16.85546875" style="22" customWidth="1"/>
    <col min="10253" max="10253" width="14.5703125" style="22" customWidth="1"/>
    <col min="10254" max="10254" width="13.42578125" style="22" customWidth="1"/>
    <col min="10255" max="10255" width="14.140625" style="22" customWidth="1"/>
    <col min="10256" max="10256" width="13.5703125" style="22" customWidth="1"/>
    <col min="10257" max="10257" width="14.7109375" style="22" customWidth="1"/>
    <col min="10258" max="10258" width="16" style="22" customWidth="1"/>
    <col min="10259" max="10259" width="14.5703125" style="22" bestFit="1" customWidth="1"/>
    <col min="10260" max="10496" width="9.140625" style="22"/>
    <col min="10497" max="10497" width="7.42578125" style="22" customWidth="1"/>
    <col min="10498" max="10498" width="36.140625" style="22" customWidth="1"/>
    <col min="10499" max="10499" width="28.42578125" style="22" customWidth="1"/>
    <col min="10500" max="10500" width="26" style="22" customWidth="1"/>
    <col min="10501" max="10501" width="16" style="22" customWidth="1"/>
    <col min="10502" max="10503" width="14.28515625" style="22" customWidth="1"/>
    <col min="10504" max="10504" width="16.140625" style="22" customWidth="1"/>
    <col min="10505" max="10505" width="14.7109375" style="22" customWidth="1"/>
    <col min="10506" max="10506" width="14.5703125" style="22" customWidth="1"/>
    <col min="10507" max="10507" width="14" style="22" customWidth="1"/>
    <col min="10508" max="10508" width="16.85546875" style="22" customWidth="1"/>
    <col min="10509" max="10509" width="14.5703125" style="22" customWidth="1"/>
    <col min="10510" max="10510" width="13.42578125" style="22" customWidth="1"/>
    <col min="10511" max="10511" width="14.140625" style="22" customWidth="1"/>
    <col min="10512" max="10512" width="13.5703125" style="22" customWidth="1"/>
    <col min="10513" max="10513" width="14.7109375" style="22" customWidth="1"/>
    <col min="10514" max="10514" width="16" style="22" customWidth="1"/>
    <col min="10515" max="10515" width="14.5703125" style="22" bestFit="1" customWidth="1"/>
    <col min="10516" max="10752" width="9.140625" style="22"/>
    <col min="10753" max="10753" width="7.42578125" style="22" customWidth="1"/>
    <col min="10754" max="10754" width="36.140625" style="22" customWidth="1"/>
    <col min="10755" max="10755" width="28.42578125" style="22" customWidth="1"/>
    <col min="10756" max="10756" width="26" style="22" customWidth="1"/>
    <col min="10757" max="10757" width="16" style="22" customWidth="1"/>
    <col min="10758" max="10759" width="14.28515625" style="22" customWidth="1"/>
    <col min="10760" max="10760" width="16.140625" style="22" customWidth="1"/>
    <col min="10761" max="10761" width="14.7109375" style="22" customWidth="1"/>
    <col min="10762" max="10762" width="14.5703125" style="22" customWidth="1"/>
    <col min="10763" max="10763" width="14" style="22" customWidth="1"/>
    <col min="10764" max="10764" width="16.85546875" style="22" customWidth="1"/>
    <col min="10765" max="10765" width="14.5703125" style="22" customWidth="1"/>
    <col min="10766" max="10766" width="13.42578125" style="22" customWidth="1"/>
    <col min="10767" max="10767" width="14.140625" style="22" customWidth="1"/>
    <col min="10768" max="10768" width="13.5703125" style="22" customWidth="1"/>
    <col min="10769" max="10769" width="14.7109375" style="22" customWidth="1"/>
    <col min="10770" max="10770" width="16" style="22" customWidth="1"/>
    <col min="10771" max="10771" width="14.5703125" style="22" bestFit="1" customWidth="1"/>
    <col min="10772" max="11008" width="9.140625" style="22"/>
    <col min="11009" max="11009" width="7.42578125" style="22" customWidth="1"/>
    <col min="11010" max="11010" width="36.140625" style="22" customWidth="1"/>
    <col min="11011" max="11011" width="28.42578125" style="22" customWidth="1"/>
    <col min="11012" max="11012" width="26" style="22" customWidth="1"/>
    <col min="11013" max="11013" width="16" style="22" customWidth="1"/>
    <col min="11014" max="11015" width="14.28515625" style="22" customWidth="1"/>
    <col min="11016" max="11016" width="16.140625" style="22" customWidth="1"/>
    <col min="11017" max="11017" width="14.7109375" style="22" customWidth="1"/>
    <col min="11018" max="11018" width="14.5703125" style="22" customWidth="1"/>
    <col min="11019" max="11019" width="14" style="22" customWidth="1"/>
    <col min="11020" max="11020" width="16.85546875" style="22" customWidth="1"/>
    <col min="11021" max="11021" width="14.5703125" style="22" customWidth="1"/>
    <col min="11022" max="11022" width="13.42578125" style="22" customWidth="1"/>
    <col min="11023" max="11023" width="14.140625" style="22" customWidth="1"/>
    <col min="11024" max="11024" width="13.5703125" style="22" customWidth="1"/>
    <col min="11025" max="11025" width="14.7109375" style="22" customWidth="1"/>
    <col min="11026" max="11026" width="16" style="22" customWidth="1"/>
    <col min="11027" max="11027" width="14.5703125" style="22" bestFit="1" customWidth="1"/>
    <col min="11028" max="11264" width="9.140625" style="22"/>
    <col min="11265" max="11265" width="7.42578125" style="22" customWidth="1"/>
    <col min="11266" max="11266" width="36.140625" style="22" customWidth="1"/>
    <col min="11267" max="11267" width="28.42578125" style="22" customWidth="1"/>
    <col min="11268" max="11268" width="26" style="22" customWidth="1"/>
    <col min="11269" max="11269" width="16" style="22" customWidth="1"/>
    <col min="11270" max="11271" width="14.28515625" style="22" customWidth="1"/>
    <col min="11272" max="11272" width="16.140625" style="22" customWidth="1"/>
    <col min="11273" max="11273" width="14.7109375" style="22" customWidth="1"/>
    <col min="11274" max="11274" width="14.5703125" style="22" customWidth="1"/>
    <col min="11275" max="11275" width="14" style="22" customWidth="1"/>
    <col min="11276" max="11276" width="16.85546875" style="22" customWidth="1"/>
    <col min="11277" max="11277" width="14.5703125" style="22" customWidth="1"/>
    <col min="11278" max="11278" width="13.42578125" style="22" customWidth="1"/>
    <col min="11279" max="11279" width="14.140625" style="22" customWidth="1"/>
    <col min="11280" max="11280" width="13.5703125" style="22" customWidth="1"/>
    <col min="11281" max="11281" width="14.7109375" style="22" customWidth="1"/>
    <col min="11282" max="11282" width="16" style="22" customWidth="1"/>
    <col min="11283" max="11283" width="14.5703125" style="22" bestFit="1" customWidth="1"/>
    <col min="11284" max="11520" width="9.140625" style="22"/>
    <col min="11521" max="11521" width="7.42578125" style="22" customWidth="1"/>
    <col min="11522" max="11522" width="36.140625" style="22" customWidth="1"/>
    <col min="11523" max="11523" width="28.42578125" style="22" customWidth="1"/>
    <col min="11524" max="11524" width="26" style="22" customWidth="1"/>
    <col min="11525" max="11525" width="16" style="22" customWidth="1"/>
    <col min="11526" max="11527" width="14.28515625" style="22" customWidth="1"/>
    <col min="11528" max="11528" width="16.140625" style="22" customWidth="1"/>
    <col min="11529" max="11529" width="14.7109375" style="22" customWidth="1"/>
    <col min="11530" max="11530" width="14.5703125" style="22" customWidth="1"/>
    <col min="11531" max="11531" width="14" style="22" customWidth="1"/>
    <col min="11532" max="11532" width="16.85546875" style="22" customWidth="1"/>
    <col min="11533" max="11533" width="14.5703125" style="22" customWidth="1"/>
    <col min="11534" max="11534" width="13.42578125" style="22" customWidth="1"/>
    <col min="11535" max="11535" width="14.140625" style="22" customWidth="1"/>
    <col min="11536" max="11536" width="13.5703125" style="22" customWidth="1"/>
    <col min="11537" max="11537" width="14.7109375" style="22" customWidth="1"/>
    <col min="11538" max="11538" width="16" style="22" customWidth="1"/>
    <col min="11539" max="11539" width="14.5703125" style="22" bestFit="1" customWidth="1"/>
    <col min="11540" max="11776" width="9.140625" style="22"/>
    <col min="11777" max="11777" width="7.42578125" style="22" customWidth="1"/>
    <col min="11778" max="11778" width="36.140625" style="22" customWidth="1"/>
    <col min="11779" max="11779" width="28.42578125" style="22" customWidth="1"/>
    <col min="11780" max="11780" width="26" style="22" customWidth="1"/>
    <col min="11781" max="11781" width="16" style="22" customWidth="1"/>
    <col min="11782" max="11783" width="14.28515625" style="22" customWidth="1"/>
    <col min="11784" max="11784" width="16.140625" style="22" customWidth="1"/>
    <col min="11785" max="11785" width="14.7109375" style="22" customWidth="1"/>
    <col min="11786" max="11786" width="14.5703125" style="22" customWidth="1"/>
    <col min="11787" max="11787" width="14" style="22" customWidth="1"/>
    <col min="11788" max="11788" width="16.85546875" style="22" customWidth="1"/>
    <col min="11789" max="11789" width="14.5703125" style="22" customWidth="1"/>
    <col min="11790" max="11790" width="13.42578125" style="22" customWidth="1"/>
    <col min="11791" max="11791" width="14.140625" style="22" customWidth="1"/>
    <col min="11792" max="11792" width="13.5703125" style="22" customWidth="1"/>
    <col min="11793" max="11793" width="14.7109375" style="22" customWidth="1"/>
    <col min="11794" max="11794" width="16" style="22" customWidth="1"/>
    <col min="11795" max="11795" width="14.5703125" style="22" bestFit="1" customWidth="1"/>
    <col min="11796" max="12032" width="9.140625" style="22"/>
    <col min="12033" max="12033" width="7.42578125" style="22" customWidth="1"/>
    <col min="12034" max="12034" width="36.140625" style="22" customWidth="1"/>
    <col min="12035" max="12035" width="28.42578125" style="22" customWidth="1"/>
    <col min="12036" max="12036" width="26" style="22" customWidth="1"/>
    <col min="12037" max="12037" width="16" style="22" customWidth="1"/>
    <col min="12038" max="12039" width="14.28515625" style="22" customWidth="1"/>
    <col min="12040" max="12040" width="16.140625" style="22" customWidth="1"/>
    <col min="12041" max="12041" width="14.7109375" style="22" customWidth="1"/>
    <col min="12042" max="12042" width="14.5703125" style="22" customWidth="1"/>
    <col min="12043" max="12043" width="14" style="22" customWidth="1"/>
    <col min="12044" max="12044" width="16.85546875" style="22" customWidth="1"/>
    <col min="12045" max="12045" width="14.5703125" style="22" customWidth="1"/>
    <col min="12046" max="12046" width="13.42578125" style="22" customWidth="1"/>
    <col min="12047" max="12047" width="14.140625" style="22" customWidth="1"/>
    <col min="12048" max="12048" width="13.5703125" style="22" customWidth="1"/>
    <col min="12049" max="12049" width="14.7109375" style="22" customWidth="1"/>
    <col min="12050" max="12050" width="16" style="22" customWidth="1"/>
    <col min="12051" max="12051" width="14.5703125" style="22" bestFit="1" customWidth="1"/>
    <col min="12052" max="12288" width="9.140625" style="22"/>
    <col min="12289" max="12289" width="7.42578125" style="22" customWidth="1"/>
    <col min="12290" max="12290" width="36.140625" style="22" customWidth="1"/>
    <col min="12291" max="12291" width="28.42578125" style="22" customWidth="1"/>
    <col min="12292" max="12292" width="26" style="22" customWidth="1"/>
    <col min="12293" max="12293" width="16" style="22" customWidth="1"/>
    <col min="12294" max="12295" width="14.28515625" style="22" customWidth="1"/>
    <col min="12296" max="12296" width="16.140625" style="22" customWidth="1"/>
    <col min="12297" max="12297" width="14.7109375" style="22" customWidth="1"/>
    <col min="12298" max="12298" width="14.5703125" style="22" customWidth="1"/>
    <col min="12299" max="12299" width="14" style="22" customWidth="1"/>
    <col min="12300" max="12300" width="16.85546875" style="22" customWidth="1"/>
    <col min="12301" max="12301" width="14.5703125" style="22" customWidth="1"/>
    <col min="12302" max="12302" width="13.42578125" style="22" customWidth="1"/>
    <col min="12303" max="12303" width="14.140625" style="22" customWidth="1"/>
    <col min="12304" max="12304" width="13.5703125" style="22" customWidth="1"/>
    <col min="12305" max="12305" width="14.7109375" style="22" customWidth="1"/>
    <col min="12306" max="12306" width="16" style="22" customWidth="1"/>
    <col min="12307" max="12307" width="14.5703125" style="22" bestFit="1" customWidth="1"/>
    <col min="12308" max="12544" width="9.140625" style="22"/>
    <col min="12545" max="12545" width="7.42578125" style="22" customWidth="1"/>
    <col min="12546" max="12546" width="36.140625" style="22" customWidth="1"/>
    <col min="12547" max="12547" width="28.42578125" style="22" customWidth="1"/>
    <col min="12548" max="12548" width="26" style="22" customWidth="1"/>
    <col min="12549" max="12549" width="16" style="22" customWidth="1"/>
    <col min="12550" max="12551" width="14.28515625" style="22" customWidth="1"/>
    <col min="12552" max="12552" width="16.140625" style="22" customWidth="1"/>
    <col min="12553" max="12553" width="14.7109375" style="22" customWidth="1"/>
    <col min="12554" max="12554" width="14.5703125" style="22" customWidth="1"/>
    <col min="12555" max="12555" width="14" style="22" customWidth="1"/>
    <col min="12556" max="12556" width="16.85546875" style="22" customWidth="1"/>
    <col min="12557" max="12557" width="14.5703125" style="22" customWidth="1"/>
    <col min="12558" max="12558" width="13.42578125" style="22" customWidth="1"/>
    <col min="12559" max="12559" width="14.140625" style="22" customWidth="1"/>
    <col min="12560" max="12560" width="13.5703125" style="22" customWidth="1"/>
    <col min="12561" max="12561" width="14.7109375" style="22" customWidth="1"/>
    <col min="12562" max="12562" width="16" style="22" customWidth="1"/>
    <col min="12563" max="12563" width="14.5703125" style="22" bestFit="1" customWidth="1"/>
    <col min="12564" max="12800" width="9.140625" style="22"/>
    <col min="12801" max="12801" width="7.42578125" style="22" customWidth="1"/>
    <col min="12802" max="12802" width="36.140625" style="22" customWidth="1"/>
    <col min="12803" max="12803" width="28.42578125" style="22" customWidth="1"/>
    <col min="12804" max="12804" width="26" style="22" customWidth="1"/>
    <col min="12805" max="12805" width="16" style="22" customWidth="1"/>
    <col min="12806" max="12807" width="14.28515625" style="22" customWidth="1"/>
    <col min="12808" max="12808" width="16.140625" style="22" customWidth="1"/>
    <col min="12809" max="12809" width="14.7109375" style="22" customWidth="1"/>
    <col min="12810" max="12810" width="14.5703125" style="22" customWidth="1"/>
    <col min="12811" max="12811" width="14" style="22" customWidth="1"/>
    <col min="12812" max="12812" width="16.85546875" style="22" customWidth="1"/>
    <col min="12813" max="12813" width="14.5703125" style="22" customWidth="1"/>
    <col min="12814" max="12814" width="13.42578125" style="22" customWidth="1"/>
    <col min="12815" max="12815" width="14.140625" style="22" customWidth="1"/>
    <col min="12816" max="12816" width="13.5703125" style="22" customWidth="1"/>
    <col min="12817" max="12817" width="14.7109375" style="22" customWidth="1"/>
    <col min="12818" max="12818" width="16" style="22" customWidth="1"/>
    <col min="12819" max="12819" width="14.5703125" style="22" bestFit="1" customWidth="1"/>
    <col min="12820" max="13056" width="9.140625" style="22"/>
    <col min="13057" max="13057" width="7.42578125" style="22" customWidth="1"/>
    <col min="13058" max="13058" width="36.140625" style="22" customWidth="1"/>
    <col min="13059" max="13059" width="28.42578125" style="22" customWidth="1"/>
    <col min="13060" max="13060" width="26" style="22" customWidth="1"/>
    <col min="13061" max="13061" width="16" style="22" customWidth="1"/>
    <col min="13062" max="13063" width="14.28515625" style="22" customWidth="1"/>
    <col min="13064" max="13064" width="16.140625" style="22" customWidth="1"/>
    <col min="13065" max="13065" width="14.7109375" style="22" customWidth="1"/>
    <col min="13066" max="13066" width="14.5703125" style="22" customWidth="1"/>
    <col min="13067" max="13067" width="14" style="22" customWidth="1"/>
    <col min="13068" max="13068" width="16.85546875" style="22" customWidth="1"/>
    <col min="13069" max="13069" width="14.5703125" style="22" customWidth="1"/>
    <col min="13070" max="13070" width="13.42578125" style="22" customWidth="1"/>
    <col min="13071" max="13071" width="14.140625" style="22" customWidth="1"/>
    <col min="13072" max="13072" width="13.5703125" style="22" customWidth="1"/>
    <col min="13073" max="13073" width="14.7109375" style="22" customWidth="1"/>
    <col min="13074" max="13074" width="16" style="22" customWidth="1"/>
    <col min="13075" max="13075" width="14.5703125" style="22" bestFit="1" customWidth="1"/>
    <col min="13076" max="13312" width="9.140625" style="22"/>
    <col min="13313" max="13313" width="7.42578125" style="22" customWidth="1"/>
    <col min="13314" max="13314" width="36.140625" style="22" customWidth="1"/>
    <col min="13315" max="13315" width="28.42578125" style="22" customWidth="1"/>
    <col min="13316" max="13316" width="26" style="22" customWidth="1"/>
    <col min="13317" max="13317" width="16" style="22" customWidth="1"/>
    <col min="13318" max="13319" width="14.28515625" style="22" customWidth="1"/>
    <col min="13320" max="13320" width="16.140625" style="22" customWidth="1"/>
    <col min="13321" max="13321" width="14.7109375" style="22" customWidth="1"/>
    <col min="13322" max="13322" width="14.5703125" style="22" customWidth="1"/>
    <col min="13323" max="13323" width="14" style="22" customWidth="1"/>
    <col min="13324" max="13324" width="16.85546875" style="22" customWidth="1"/>
    <col min="13325" max="13325" width="14.5703125" style="22" customWidth="1"/>
    <col min="13326" max="13326" width="13.42578125" style="22" customWidth="1"/>
    <col min="13327" max="13327" width="14.140625" style="22" customWidth="1"/>
    <col min="13328" max="13328" width="13.5703125" style="22" customWidth="1"/>
    <col min="13329" max="13329" width="14.7109375" style="22" customWidth="1"/>
    <col min="13330" max="13330" width="16" style="22" customWidth="1"/>
    <col min="13331" max="13331" width="14.5703125" style="22" bestFit="1" customWidth="1"/>
    <col min="13332" max="13568" width="9.140625" style="22"/>
    <col min="13569" max="13569" width="7.42578125" style="22" customWidth="1"/>
    <col min="13570" max="13570" width="36.140625" style="22" customWidth="1"/>
    <col min="13571" max="13571" width="28.42578125" style="22" customWidth="1"/>
    <col min="13572" max="13572" width="26" style="22" customWidth="1"/>
    <col min="13573" max="13573" width="16" style="22" customWidth="1"/>
    <col min="13574" max="13575" width="14.28515625" style="22" customWidth="1"/>
    <col min="13576" max="13576" width="16.140625" style="22" customWidth="1"/>
    <col min="13577" max="13577" width="14.7109375" style="22" customWidth="1"/>
    <col min="13578" max="13578" width="14.5703125" style="22" customWidth="1"/>
    <col min="13579" max="13579" width="14" style="22" customWidth="1"/>
    <col min="13580" max="13580" width="16.85546875" style="22" customWidth="1"/>
    <col min="13581" max="13581" width="14.5703125" style="22" customWidth="1"/>
    <col min="13582" max="13582" width="13.42578125" style="22" customWidth="1"/>
    <col min="13583" max="13583" width="14.140625" style="22" customWidth="1"/>
    <col min="13584" max="13584" width="13.5703125" style="22" customWidth="1"/>
    <col min="13585" max="13585" width="14.7109375" style="22" customWidth="1"/>
    <col min="13586" max="13586" width="16" style="22" customWidth="1"/>
    <col min="13587" max="13587" width="14.5703125" style="22" bestFit="1" customWidth="1"/>
    <col min="13588" max="13824" width="9.140625" style="22"/>
    <col min="13825" max="13825" width="7.42578125" style="22" customWidth="1"/>
    <col min="13826" max="13826" width="36.140625" style="22" customWidth="1"/>
    <col min="13827" max="13827" width="28.42578125" style="22" customWidth="1"/>
    <col min="13828" max="13828" width="26" style="22" customWidth="1"/>
    <col min="13829" max="13829" width="16" style="22" customWidth="1"/>
    <col min="13830" max="13831" width="14.28515625" style="22" customWidth="1"/>
    <col min="13832" max="13832" width="16.140625" style="22" customWidth="1"/>
    <col min="13833" max="13833" width="14.7109375" style="22" customWidth="1"/>
    <col min="13834" max="13834" width="14.5703125" style="22" customWidth="1"/>
    <col min="13835" max="13835" width="14" style="22" customWidth="1"/>
    <col min="13836" max="13836" width="16.85546875" style="22" customWidth="1"/>
    <col min="13837" max="13837" width="14.5703125" style="22" customWidth="1"/>
    <col min="13838" max="13838" width="13.42578125" style="22" customWidth="1"/>
    <col min="13839" max="13839" width="14.140625" style="22" customWidth="1"/>
    <col min="13840" max="13840" width="13.5703125" style="22" customWidth="1"/>
    <col min="13841" max="13841" width="14.7109375" style="22" customWidth="1"/>
    <col min="13842" max="13842" width="16" style="22" customWidth="1"/>
    <col min="13843" max="13843" width="14.5703125" style="22" bestFit="1" customWidth="1"/>
    <col min="13844" max="14080" width="9.140625" style="22"/>
    <col min="14081" max="14081" width="7.42578125" style="22" customWidth="1"/>
    <col min="14082" max="14082" width="36.140625" style="22" customWidth="1"/>
    <col min="14083" max="14083" width="28.42578125" style="22" customWidth="1"/>
    <col min="14084" max="14084" width="26" style="22" customWidth="1"/>
    <col min="14085" max="14085" width="16" style="22" customWidth="1"/>
    <col min="14086" max="14087" width="14.28515625" style="22" customWidth="1"/>
    <col min="14088" max="14088" width="16.140625" style="22" customWidth="1"/>
    <col min="14089" max="14089" width="14.7109375" style="22" customWidth="1"/>
    <col min="14090" max="14090" width="14.5703125" style="22" customWidth="1"/>
    <col min="14091" max="14091" width="14" style="22" customWidth="1"/>
    <col min="14092" max="14092" width="16.85546875" style="22" customWidth="1"/>
    <col min="14093" max="14093" width="14.5703125" style="22" customWidth="1"/>
    <col min="14094" max="14094" width="13.42578125" style="22" customWidth="1"/>
    <col min="14095" max="14095" width="14.140625" style="22" customWidth="1"/>
    <col min="14096" max="14096" width="13.5703125" style="22" customWidth="1"/>
    <col min="14097" max="14097" width="14.7109375" style="22" customWidth="1"/>
    <col min="14098" max="14098" width="16" style="22" customWidth="1"/>
    <col min="14099" max="14099" width="14.5703125" style="22" bestFit="1" customWidth="1"/>
    <col min="14100" max="14336" width="9.140625" style="22"/>
    <col min="14337" max="14337" width="7.42578125" style="22" customWidth="1"/>
    <col min="14338" max="14338" width="36.140625" style="22" customWidth="1"/>
    <col min="14339" max="14339" width="28.42578125" style="22" customWidth="1"/>
    <col min="14340" max="14340" width="26" style="22" customWidth="1"/>
    <col min="14341" max="14341" width="16" style="22" customWidth="1"/>
    <col min="14342" max="14343" width="14.28515625" style="22" customWidth="1"/>
    <col min="14344" max="14344" width="16.140625" style="22" customWidth="1"/>
    <col min="14345" max="14345" width="14.7109375" style="22" customWidth="1"/>
    <col min="14346" max="14346" width="14.5703125" style="22" customWidth="1"/>
    <col min="14347" max="14347" width="14" style="22" customWidth="1"/>
    <col min="14348" max="14348" width="16.85546875" style="22" customWidth="1"/>
    <col min="14349" max="14349" width="14.5703125" style="22" customWidth="1"/>
    <col min="14350" max="14350" width="13.42578125" style="22" customWidth="1"/>
    <col min="14351" max="14351" width="14.140625" style="22" customWidth="1"/>
    <col min="14352" max="14352" width="13.5703125" style="22" customWidth="1"/>
    <col min="14353" max="14353" width="14.7109375" style="22" customWidth="1"/>
    <col min="14354" max="14354" width="16" style="22" customWidth="1"/>
    <col min="14355" max="14355" width="14.5703125" style="22" bestFit="1" customWidth="1"/>
    <col min="14356" max="14592" width="9.140625" style="22"/>
    <col min="14593" max="14593" width="7.42578125" style="22" customWidth="1"/>
    <col min="14594" max="14594" width="36.140625" style="22" customWidth="1"/>
    <col min="14595" max="14595" width="28.42578125" style="22" customWidth="1"/>
    <col min="14596" max="14596" width="26" style="22" customWidth="1"/>
    <col min="14597" max="14597" width="16" style="22" customWidth="1"/>
    <col min="14598" max="14599" width="14.28515625" style="22" customWidth="1"/>
    <col min="14600" max="14600" width="16.140625" style="22" customWidth="1"/>
    <col min="14601" max="14601" width="14.7109375" style="22" customWidth="1"/>
    <col min="14602" max="14602" width="14.5703125" style="22" customWidth="1"/>
    <col min="14603" max="14603" width="14" style="22" customWidth="1"/>
    <col min="14604" max="14604" width="16.85546875" style="22" customWidth="1"/>
    <col min="14605" max="14605" width="14.5703125" style="22" customWidth="1"/>
    <col min="14606" max="14606" width="13.42578125" style="22" customWidth="1"/>
    <col min="14607" max="14607" width="14.140625" style="22" customWidth="1"/>
    <col min="14608" max="14608" width="13.5703125" style="22" customWidth="1"/>
    <col min="14609" max="14609" width="14.7109375" style="22" customWidth="1"/>
    <col min="14610" max="14610" width="16" style="22" customWidth="1"/>
    <col min="14611" max="14611" width="14.5703125" style="22" bestFit="1" customWidth="1"/>
    <col min="14612" max="14848" width="9.140625" style="22"/>
    <col min="14849" max="14849" width="7.42578125" style="22" customWidth="1"/>
    <col min="14850" max="14850" width="36.140625" style="22" customWidth="1"/>
    <col min="14851" max="14851" width="28.42578125" style="22" customWidth="1"/>
    <col min="14852" max="14852" width="26" style="22" customWidth="1"/>
    <col min="14853" max="14853" width="16" style="22" customWidth="1"/>
    <col min="14854" max="14855" width="14.28515625" style="22" customWidth="1"/>
    <col min="14856" max="14856" width="16.140625" style="22" customWidth="1"/>
    <col min="14857" max="14857" width="14.7109375" style="22" customWidth="1"/>
    <col min="14858" max="14858" width="14.5703125" style="22" customWidth="1"/>
    <col min="14859" max="14859" width="14" style="22" customWidth="1"/>
    <col min="14860" max="14860" width="16.85546875" style="22" customWidth="1"/>
    <col min="14861" max="14861" width="14.5703125" style="22" customWidth="1"/>
    <col min="14862" max="14862" width="13.42578125" style="22" customWidth="1"/>
    <col min="14863" max="14863" width="14.140625" style="22" customWidth="1"/>
    <col min="14864" max="14864" width="13.5703125" style="22" customWidth="1"/>
    <col min="14865" max="14865" width="14.7109375" style="22" customWidth="1"/>
    <col min="14866" max="14866" width="16" style="22" customWidth="1"/>
    <col min="14867" max="14867" width="14.5703125" style="22" bestFit="1" customWidth="1"/>
    <col min="14868" max="15104" width="9.140625" style="22"/>
    <col min="15105" max="15105" width="7.42578125" style="22" customWidth="1"/>
    <col min="15106" max="15106" width="36.140625" style="22" customWidth="1"/>
    <col min="15107" max="15107" width="28.42578125" style="22" customWidth="1"/>
    <col min="15108" max="15108" width="26" style="22" customWidth="1"/>
    <col min="15109" max="15109" width="16" style="22" customWidth="1"/>
    <col min="15110" max="15111" width="14.28515625" style="22" customWidth="1"/>
    <col min="15112" max="15112" width="16.140625" style="22" customWidth="1"/>
    <col min="15113" max="15113" width="14.7109375" style="22" customWidth="1"/>
    <col min="15114" max="15114" width="14.5703125" style="22" customWidth="1"/>
    <col min="15115" max="15115" width="14" style="22" customWidth="1"/>
    <col min="15116" max="15116" width="16.85546875" style="22" customWidth="1"/>
    <col min="15117" max="15117" width="14.5703125" style="22" customWidth="1"/>
    <col min="15118" max="15118" width="13.42578125" style="22" customWidth="1"/>
    <col min="15119" max="15119" width="14.140625" style="22" customWidth="1"/>
    <col min="15120" max="15120" width="13.5703125" style="22" customWidth="1"/>
    <col min="15121" max="15121" width="14.7109375" style="22" customWidth="1"/>
    <col min="15122" max="15122" width="16" style="22" customWidth="1"/>
    <col min="15123" max="15123" width="14.5703125" style="22" bestFit="1" customWidth="1"/>
    <col min="15124" max="15360" width="9.140625" style="22"/>
    <col min="15361" max="15361" width="7.42578125" style="22" customWidth="1"/>
    <col min="15362" max="15362" width="36.140625" style="22" customWidth="1"/>
    <col min="15363" max="15363" width="28.42578125" style="22" customWidth="1"/>
    <col min="15364" max="15364" width="26" style="22" customWidth="1"/>
    <col min="15365" max="15365" width="16" style="22" customWidth="1"/>
    <col min="15366" max="15367" width="14.28515625" style="22" customWidth="1"/>
    <col min="15368" max="15368" width="16.140625" style="22" customWidth="1"/>
    <col min="15369" max="15369" width="14.7109375" style="22" customWidth="1"/>
    <col min="15370" max="15370" width="14.5703125" style="22" customWidth="1"/>
    <col min="15371" max="15371" width="14" style="22" customWidth="1"/>
    <col min="15372" max="15372" width="16.85546875" style="22" customWidth="1"/>
    <col min="15373" max="15373" width="14.5703125" style="22" customWidth="1"/>
    <col min="15374" max="15374" width="13.42578125" style="22" customWidth="1"/>
    <col min="15375" max="15375" width="14.140625" style="22" customWidth="1"/>
    <col min="15376" max="15376" width="13.5703125" style="22" customWidth="1"/>
    <col min="15377" max="15377" width="14.7109375" style="22" customWidth="1"/>
    <col min="15378" max="15378" width="16" style="22" customWidth="1"/>
    <col min="15379" max="15379" width="14.5703125" style="22" bestFit="1" customWidth="1"/>
    <col min="15380" max="15616" width="9.140625" style="22"/>
    <col min="15617" max="15617" width="7.42578125" style="22" customWidth="1"/>
    <col min="15618" max="15618" width="36.140625" style="22" customWidth="1"/>
    <col min="15619" max="15619" width="28.42578125" style="22" customWidth="1"/>
    <col min="15620" max="15620" width="26" style="22" customWidth="1"/>
    <col min="15621" max="15621" width="16" style="22" customWidth="1"/>
    <col min="15622" max="15623" width="14.28515625" style="22" customWidth="1"/>
    <col min="15624" max="15624" width="16.140625" style="22" customWidth="1"/>
    <col min="15625" max="15625" width="14.7109375" style="22" customWidth="1"/>
    <col min="15626" max="15626" width="14.5703125" style="22" customWidth="1"/>
    <col min="15627" max="15627" width="14" style="22" customWidth="1"/>
    <col min="15628" max="15628" width="16.85546875" style="22" customWidth="1"/>
    <col min="15629" max="15629" width="14.5703125" style="22" customWidth="1"/>
    <col min="15630" max="15630" width="13.42578125" style="22" customWidth="1"/>
    <col min="15631" max="15631" width="14.140625" style="22" customWidth="1"/>
    <col min="15632" max="15632" width="13.5703125" style="22" customWidth="1"/>
    <col min="15633" max="15633" width="14.7109375" style="22" customWidth="1"/>
    <col min="15634" max="15634" width="16" style="22" customWidth="1"/>
    <col min="15635" max="15635" width="14.5703125" style="22" bestFit="1" customWidth="1"/>
    <col min="15636" max="15872" width="9.140625" style="22"/>
    <col min="15873" max="15873" width="7.42578125" style="22" customWidth="1"/>
    <col min="15874" max="15874" width="36.140625" style="22" customWidth="1"/>
    <col min="15875" max="15875" width="28.42578125" style="22" customWidth="1"/>
    <col min="15876" max="15876" width="26" style="22" customWidth="1"/>
    <col min="15877" max="15877" width="16" style="22" customWidth="1"/>
    <col min="15878" max="15879" width="14.28515625" style="22" customWidth="1"/>
    <col min="15880" max="15880" width="16.140625" style="22" customWidth="1"/>
    <col min="15881" max="15881" width="14.7109375" style="22" customWidth="1"/>
    <col min="15882" max="15882" width="14.5703125" style="22" customWidth="1"/>
    <col min="15883" max="15883" width="14" style="22" customWidth="1"/>
    <col min="15884" max="15884" width="16.85546875" style="22" customWidth="1"/>
    <col min="15885" max="15885" width="14.5703125" style="22" customWidth="1"/>
    <col min="15886" max="15886" width="13.42578125" style="22" customWidth="1"/>
    <col min="15887" max="15887" width="14.140625" style="22" customWidth="1"/>
    <col min="15888" max="15888" width="13.5703125" style="22" customWidth="1"/>
    <col min="15889" max="15889" width="14.7109375" style="22" customWidth="1"/>
    <col min="15890" max="15890" width="16" style="22" customWidth="1"/>
    <col min="15891" max="15891" width="14.5703125" style="22" bestFit="1" customWidth="1"/>
    <col min="15892" max="16128" width="9.140625" style="22"/>
    <col min="16129" max="16129" width="7.42578125" style="22" customWidth="1"/>
    <col min="16130" max="16130" width="36.140625" style="22" customWidth="1"/>
    <col min="16131" max="16131" width="28.42578125" style="22" customWidth="1"/>
    <col min="16132" max="16132" width="26" style="22" customWidth="1"/>
    <col min="16133" max="16133" width="16" style="22" customWidth="1"/>
    <col min="16134" max="16135" width="14.28515625" style="22" customWidth="1"/>
    <col min="16136" max="16136" width="16.140625" style="22" customWidth="1"/>
    <col min="16137" max="16137" width="14.7109375" style="22" customWidth="1"/>
    <col min="16138" max="16138" width="14.5703125" style="22" customWidth="1"/>
    <col min="16139" max="16139" width="14" style="22" customWidth="1"/>
    <col min="16140" max="16140" width="16.85546875" style="22" customWidth="1"/>
    <col min="16141" max="16141" width="14.5703125" style="22" customWidth="1"/>
    <col min="16142" max="16142" width="13.42578125" style="22" customWidth="1"/>
    <col min="16143" max="16143" width="14.140625" style="22" customWidth="1"/>
    <col min="16144" max="16144" width="13.5703125" style="22" customWidth="1"/>
    <col min="16145" max="16145" width="14.7109375" style="22" customWidth="1"/>
    <col min="16146" max="16146" width="16" style="22" customWidth="1"/>
    <col min="16147" max="16147" width="14.5703125" style="22" bestFit="1" customWidth="1"/>
    <col min="16148" max="16384" width="9.140625" style="22"/>
  </cols>
  <sheetData>
    <row r="1" spans="1:19" s="8" customFormat="1" ht="20.25" hidden="1" customHeight="1" x14ac:dyDescent="0.25">
      <c r="A1" s="28"/>
      <c r="B1" s="28"/>
      <c r="C1" s="28"/>
      <c r="D1" s="7"/>
      <c r="E1" s="23"/>
      <c r="F1" s="23"/>
      <c r="G1" s="1"/>
      <c r="H1" s="1"/>
      <c r="I1" s="1"/>
      <c r="J1" s="23"/>
      <c r="K1" s="1"/>
      <c r="L1" s="1"/>
      <c r="M1" s="133" t="s">
        <v>0</v>
      </c>
      <c r="N1" s="133"/>
      <c r="O1" s="133"/>
      <c r="P1" s="133"/>
      <c r="Q1" s="133"/>
      <c r="R1" s="29"/>
      <c r="S1" s="30"/>
    </row>
    <row r="2" spans="1:19" s="8" customFormat="1" ht="20.25" customHeight="1" x14ac:dyDescent="0.25">
      <c r="A2" s="28"/>
      <c r="B2" s="28"/>
      <c r="C2" s="28"/>
      <c r="D2" s="7"/>
      <c r="E2" s="23"/>
      <c r="F2" s="23"/>
      <c r="G2" s="1"/>
      <c r="H2" s="1"/>
      <c r="I2" s="1"/>
      <c r="J2" s="23"/>
      <c r="K2" s="1"/>
      <c r="L2" s="1"/>
      <c r="M2" s="134" t="s">
        <v>90</v>
      </c>
      <c r="N2" s="134"/>
      <c r="O2" s="134"/>
      <c r="P2" s="134"/>
      <c r="Q2" s="134"/>
      <c r="R2" s="29"/>
      <c r="S2" s="30"/>
    </row>
    <row r="3" spans="1:19" s="8" customFormat="1" ht="20.25" customHeight="1" x14ac:dyDescent="0.25">
      <c r="A3" s="28"/>
      <c r="B3" s="28"/>
      <c r="C3" s="28"/>
      <c r="D3" s="7"/>
      <c r="E3" s="86"/>
      <c r="F3" s="23"/>
      <c r="G3" s="1"/>
      <c r="H3" s="1"/>
      <c r="I3" s="1"/>
      <c r="J3" s="23"/>
      <c r="K3" s="1"/>
      <c r="L3" s="1"/>
      <c r="M3" s="135" t="s">
        <v>80</v>
      </c>
      <c r="N3" s="135"/>
      <c r="O3" s="135"/>
      <c r="P3" s="135"/>
      <c r="Q3" s="135"/>
      <c r="R3" s="29"/>
      <c r="S3" s="30"/>
    </row>
    <row r="4" spans="1:19" s="9" customFormat="1" ht="20.25" customHeight="1" x14ac:dyDescent="0.25">
      <c r="A4" s="28"/>
      <c r="B4" s="28"/>
      <c r="C4" s="28"/>
      <c r="D4" s="7"/>
      <c r="E4" s="23"/>
      <c r="F4" s="23"/>
      <c r="G4" s="1"/>
      <c r="H4" s="1"/>
      <c r="I4" s="1"/>
      <c r="J4" s="23"/>
      <c r="K4" s="1"/>
      <c r="L4" s="1"/>
      <c r="M4" s="134" t="s">
        <v>1</v>
      </c>
      <c r="N4" s="134"/>
      <c r="O4" s="134"/>
      <c r="P4" s="134"/>
      <c r="Q4" s="134"/>
      <c r="R4" s="29"/>
      <c r="S4" s="31"/>
    </row>
    <row r="5" spans="1:19" s="8" customFormat="1" ht="12.75" customHeight="1" x14ac:dyDescent="0.25">
      <c r="B5" s="32"/>
      <c r="D5" s="9"/>
      <c r="E5" s="4"/>
      <c r="F5" s="4"/>
      <c r="G5" s="1"/>
      <c r="H5" s="1"/>
      <c r="I5" s="1"/>
      <c r="J5" s="4"/>
      <c r="K5" s="1"/>
      <c r="L5" s="1"/>
      <c r="M5" s="1"/>
      <c r="N5" s="4"/>
      <c r="O5" s="1"/>
      <c r="P5" s="1"/>
      <c r="Q5" s="89" t="s">
        <v>91</v>
      </c>
      <c r="R5" s="26"/>
      <c r="S5" s="30"/>
    </row>
    <row r="6" spans="1:19" s="8" customFormat="1" ht="21" customHeight="1" x14ac:dyDescent="0.25">
      <c r="A6" s="136" t="s">
        <v>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26"/>
      <c r="S6" s="30"/>
    </row>
    <row r="7" spans="1:19" s="8" customFormat="1" ht="21" customHeight="1" x14ac:dyDescent="0.25">
      <c r="A7" s="137" t="s">
        <v>81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26"/>
      <c r="S7" s="30"/>
    </row>
    <row r="8" spans="1:19" s="8" customFormat="1" ht="12.75" customHeight="1" x14ac:dyDescent="0.25">
      <c r="B8" s="32"/>
      <c r="C8" s="33"/>
      <c r="D8" s="9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2" t="s">
        <v>3</v>
      </c>
      <c r="R8" s="26"/>
      <c r="S8" s="30"/>
    </row>
    <row r="9" spans="1:19" s="8" customFormat="1" ht="31.5" customHeight="1" x14ac:dyDescent="0.25">
      <c r="A9" s="138" t="s">
        <v>4</v>
      </c>
      <c r="B9" s="140" t="s">
        <v>5</v>
      </c>
      <c r="C9" s="138" t="s">
        <v>6</v>
      </c>
      <c r="D9" s="142" t="s">
        <v>7</v>
      </c>
      <c r="E9" s="144" t="s">
        <v>8</v>
      </c>
      <c r="F9" s="129" t="s">
        <v>9</v>
      </c>
      <c r="G9" s="130"/>
      <c r="H9" s="130"/>
      <c r="I9" s="130"/>
      <c r="J9" s="130"/>
      <c r="K9" s="131"/>
      <c r="L9" s="130"/>
      <c r="M9" s="130"/>
      <c r="N9" s="130"/>
      <c r="O9" s="130"/>
      <c r="P9" s="130"/>
      <c r="Q9" s="132"/>
      <c r="R9" s="26"/>
      <c r="S9" s="30"/>
    </row>
    <row r="10" spans="1:19" s="8" customFormat="1" ht="95.25" customHeight="1" x14ac:dyDescent="0.25">
      <c r="A10" s="139"/>
      <c r="B10" s="141"/>
      <c r="C10" s="139"/>
      <c r="D10" s="143"/>
      <c r="E10" s="144"/>
      <c r="F10" s="88" t="s">
        <v>10</v>
      </c>
      <c r="G10" s="88" t="s">
        <v>11</v>
      </c>
      <c r="H10" s="88" t="s">
        <v>12</v>
      </c>
      <c r="I10" s="88" t="s">
        <v>13</v>
      </c>
      <c r="J10" s="87" t="s">
        <v>14</v>
      </c>
      <c r="K10" s="88" t="s">
        <v>15</v>
      </c>
      <c r="L10" s="24" t="s">
        <v>16</v>
      </c>
      <c r="M10" s="88" t="s">
        <v>17</v>
      </c>
      <c r="N10" s="88" t="s">
        <v>18</v>
      </c>
      <c r="O10" s="88" t="s">
        <v>19</v>
      </c>
      <c r="P10" s="88" t="s">
        <v>20</v>
      </c>
      <c r="Q10" s="88" t="s">
        <v>21</v>
      </c>
      <c r="R10" s="26"/>
      <c r="S10" s="30"/>
    </row>
    <row r="11" spans="1:19" s="36" customFormat="1" ht="19.899999999999999" customHeight="1" x14ac:dyDescent="0.25">
      <c r="A11" s="10">
        <v>1</v>
      </c>
      <c r="B11" s="34">
        <v>2</v>
      </c>
      <c r="C11" s="10">
        <v>3</v>
      </c>
      <c r="D11" s="10">
        <v>4</v>
      </c>
      <c r="E11" s="64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  <c r="R11" s="26"/>
      <c r="S11" s="35"/>
    </row>
    <row r="12" spans="1:19" s="36" customFormat="1" ht="19.899999999999999" customHeight="1" x14ac:dyDescent="0.25">
      <c r="A12" s="122" t="s">
        <v>49</v>
      </c>
      <c r="B12" s="125" t="s">
        <v>47</v>
      </c>
      <c r="C12" s="109" t="s">
        <v>22</v>
      </c>
      <c r="D12" s="83" t="s">
        <v>8</v>
      </c>
      <c r="E12" s="66"/>
      <c r="F12" s="67">
        <f>F13+F14+F15+F16+F17+F18</f>
        <v>0</v>
      </c>
      <c r="G12" s="67">
        <f t="shared" ref="G12:Q12" si="0">G13+G14+G15+G16+G17+G18</f>
        <v>0</v>
      </c>
      <c r="H12" s="67">
        <f t="shared" si="0"/>
        <v>0</v>
      </c>
      <c r="I12" s="67">
        <f t="shared" si="0"/>
        <v>0</v>
      </c>
      <c r="J12" s="67">
        <f t="shared" si="0"/>
        <v>0</v>
      </c>
      <c r="K12" s="67">
        <f t="shared" si="0"/>
        <v>0</v>
      </c>
      <c r="L12" s="67">
        <f t="shared" si="0"/>
        <v>0</v>
      </c>
      <c r="M12" s="67">
        <f t="shared" si="0"/>
        <v>0</v>
      </c>
      <c r="N12" s="67">
        <f t="shared" si="0"/>
        <v>0</v>
      </c>
      <c r="O12" s="67">
        <f t="shared" si="0"/>
        <v>0</v>
      </c>
      <c r="P12" s="67">
        <f t="shared" si="0"/>
        <v>0</v>
      </c>
      <c r="Q12" s="67">
        <f t="shared" si="0"/>
        <v>0</v>
      </c>
      <c r="R12" s="26"/>
      <c r="S12" s="35"/>
    </row>
    <row r="13" spans="1:19" s="36" customFormat="1" ht="19.899999999999999" customHeight="1" x14ac:dyDescent="0.25">
      <c r="A13" s="123"/>
      <c r="B13" s="126"/>
      <c r="C13" s="110"/>
      <c r="D13" s="83" t="s">
        <v>23</v>
      </c>
      <c r="E13" s="66"/>
      <c r="F13" s="67">
        <v>0</v>
      </c>
      <c r="G13" s="67">
        <v>0</v>
      </c>
      <c r="H13" s="67">
        <v>0</v>
      </c>
      <c r="I13" s="67">
        <v>0</v>
      </c>
      <c r="J13" s="68">
        <v>0</v>
      </c>
      <c r="K13" s="67">
        <v>0</v>
      </c>
      <c r="L13" s="69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26"/>
      <c r="S13" s="35"/>
    </row>
    <row r="14" spans="1:19" s="36" customFormat="1" ht="19.899999999999999" customHeight="1" x14ac:dyDescent="0.25">
      <c r="A14" s="123"/>
      <c r="B14" s="126"/>
      <c r="C14" s="110"/>
      <c r="D14" s="83" t="s">
        <v>24</v>
      </c>
      <c r="E14" s="66"/>
      <c r="F14" s="67">
        <v>0</v>
      </c>
      <c r="G14" s="67">
        <v>0</v>
      </c>
      <c r="H14" s="67">
        <v>0</v>
      </c>
      <c r="I14" s="67">
        <v>0</v>
      </c>
      <c r="J14" s="68">
        <v>0</v>
      </c>
      <c r="K14" s="67">
        <v>0</v>
      </c>
      <c r="L14" s="69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26"/>
      <c r="S14" s="35"/>
    </row>
    <row r="15" spans="1:19" s="36" customFormat="1" ht="19.899999999999999" customHeight="1" x14ac:dyDescent="0.25">
      <c r="A15" s="123"/>
      <c r="B15" s="126"/>
      <c r="C15" s="110"/>
      <c r="D15" s="83" t="s">
        <v>25</v>
      </c>
      <c r="E15" s="66"/>
      <c r="F15" s="67">
        <v>0</v>
      </c>
      <c r="G15" s="67">
        <v>0</v>
      </c>
      <c r="H15" s="67">
        <v>0</v>
      </c>
      <c r="I15" s="67">
        <v>0</v>
      </c>
      <c r="J15" s="68">
        <v>0</v>
      </c>
      <c r="K15" s="67">
        <v>0</v>
      </c>
      <c r="L15" s="69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26"/>
      <c r="S15" s="35"/>
    </row>
    <row r="16" spans="1:19" s="36" customFormat="1" ht="46.5" customHeight="1" x14ac:dyDescent="0.25">
      <c r="A16" s="123"/>
      <c r="B16" s="126"/>
      <c r="C16" s="110"/>
      <c r="D16" s="83" t="s">
        <v>86</v>
      </c>
      <c r="E16" s="66"/>
      <c r="F16" s="67">
        <v>0</v>
      </c>
      <c r="G16" s="67">
        <v>0</v>
      </c>
      <c r="H16" s="67">
        <v>0</v>
      </c>
      <c r="I16" s="67">
        <v>0</v>
      </c>
      <c r="J16" s="68">
        <v>0</v>
      </c>
      <c r="K16" s="67">
        <v>0</v>
      </c>
      <c r="L16" s="69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26"/>
      <c r="S16" s="35"/>
    </row>
    <row r="17" spans="1:19" s="36" customFormat="1" ht="19.899999999999999" customHeight="1" x14ac:dyDescent="0.25">
      <c r="A17" s="123"/>
      <c r="B17" s="126"/>
      <c r="C17" s="110"/>
      <c r="D17" s="83" t="s">
        <v>87</v>
      </c>
      <c r="E17" s="66"/>
      <c r="F17" s="67">
        <v>0</v>
      </c>
      <c r="G17" s="67">
        <v>0</v>
      </c>
      <c r="H17" s="67">
        <v>0</v>
      </c>
      <c r="I17" s="67">
        <v>0</v>
      </c>
      <c r="J17" s="68">
        <v>0</v>
      </c>
      <c r="K17" s="67">
        <v>0</v>
      </c>
      <c r="L17" s="69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26"/>
      <c r="S17" s="35"/>
    </row>
    <row r="18" spans="1:19" s="36" customFormat="1" ht="19.899999999999999" customHeight="1" x14ac:dyDescent="0.25">
      <c r="A18" s="124"/>
      <c r="B18" s="127"/>
      <c r="C18" s="111"/>
      <c r="D18" s="83" t="s">
        <v>88</v>
      </c>
      <c r="E18" s="66"/>
      <c r="F18" s="67">
        <v>0</v>
      </c>
      <c r="G18" s="67">
        <v>0</v>
      </c>
      <c r="H18" s="67">
        <v>0</v>
      </c>
      <c r="I18" s="67">
        <v>0</v>
      </c>
      <c r="J18" s="68">
        <v>0</v>
      </c>
      <c r="K18" s="67">
        <v>0</v>
      </c>
      <c r="L18" s="69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26"/>
      <c r="S18" s="35"/>
    </row>
    <row r="19" spans="1:19" s="36" customFormat="1" ht="19.899999999999999" customHeight="1" x14ac:dyDescent="0.25">
      <c r="A19" s="128" t="s">
        <v>50</v>
      </c>
      <c r="B19" s="104" t="s">
        <v>48</v>
      </c>
      <c r="C19" s="109" t="s">
        <v>22</v>
      </c>
      <c r="D19" s="83" t="s">
        <v>8</v>
      </c>
      <c r="E19" s="70">
        <f>SUM(E20:E25)</f>
        <v>562.79999999999995</v>
      </c>
      <c r="F19" s="70">
        <f t="shared" ref="F19:Q19" si="1">SUM(F20:F25)</f>
        <v>1.2</v>
      </c>
      <c r="G19" s="70">
        <f t="shared" si="1"/>
        <v>256.2</v>
      </c>
      <c r="H19" s="70">
        <f t="shared" si="1"/>
        <v>70</v>
      </c>
      <c r="I19" s="70">
        <f t="shared" si="1"/>
        <v>140</v>
      </c>
      <c r="J19" s="71">
        <f t="shared" si="1"/>
        <v>95.399999999999991</v>
      </c>
      <c r="K19" s="70">
        <f t="shared" si="1"/>
        <v>0</v>
      </c>
      <c r="L19" s="72">
        <f t="shared" si="1"/>
        <v>0</v>
      </c>
      <c r="M19" s="70">
        <f t="shared" si="1"/>
        <v>0</v>
      </c>
      <c r="N19" s="70">
        <f t="shared" si="1"/>
        <v>0</v>
      </c>
      <c r="O19" s="70">
        <f t="shared" si="1"/>
        <v>0</v>
      </c>
      <c r="P19" s="70">
        <f t="shared" si="1"/>
        <v>0</v>
      </c>
      <c r="Q19" s="70">
        <f t="shared" si="1"/>
        <v>0</v>
      </c>
      <c r="R19" s="26"/>
      <c r="S19" s="35"/>
    </row>
    <row r="20" spans="1:19" s="36" customFormat="1" ht="19.899999999999999" customHeight="1" x14ac:dyDescent="0.25">
      <c r="A20" s="128"/>
      <c r="B20" s="104"/>
      <c r="C20" s="110"/>
      <c r="D20" s="83" t="s">
        <v>23</v>
      </c>
      <c r="E20" s="73">
        <f t="shared" ref="E20:E25" si="2">SUM(F20:Q20)</f>
        <v>0</v>
      </c>
      <c r="F20" s="67">
        <v>0</v>
      </c>
      <c r="G20" s="67">
        <v>0</v>
      </c>
      <c r="H20" s="67">
        <v>0</v>
      </c>
      <c r="I20" s="67">
        <v>0</v>
      </c>
      <c r="J20" s="68">
        <v>0</v>
      </c>
      <c r="K20" s="67">
        <v>0</v>
      </c>
      <c r="L20" s="69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26"/>
      <c r="S20" s="35"/>
    </row>
    <row r="21" spans="1:19" s="36" customFormat="1" ht="19.899999999999999" customHeight="1" x14ac:dyDescent="0.25">
      <c r="A21" s="128"/>
      <c r="B21" s="104"/>
      <c r="C21" s="110"/>
      <c r="D21" s="83" t="s">
        <v>24</v>
      </c>
      <c r="E21" s="73">
        <f t="shared" si="2"/>
        <v>0</v>
      </c>
      <c r="F21" s="67">
        <v>0</v>
      </c>
      <c r="G21" s="67">
        <v>0</v>
      </c>
      <c r="H21" s="67">
        <v>0</v>
      </c>
      <c r="I21" s="67">
        <v>0</v>
      </c>
      <c r="J21" s="68">
        <v>0</v>
      </c>
      <c r="K21" s="67">
        <v>0</v>
      </c>
      <c r="L21" s="69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26"/>
      <c r="S21" s="35"/>
    </row>
    <row r="22" spans="1:19" s="36" customFormat="1" ht="19.899999999999999" customHeight="1" x14ac:dyDescent="0.25">
      <c r="A22" s="128"/>
      <c r="B22" s="104"/>
      <c r="C22" s="110"/>
      <c r="D22" s="83" t="s">
        <v>25</v>
      </c>
      <c r="E22" s="73">
        <f t="shared" si="2"/>
        <v>562.79999999999995</v>
      </c>
      <c r="F22" s="67">
        <v>1.2</v>
      </c>
      <c r="G22" s="67">
        <f>221+33.6+1.6</f>
        <v>256.2</v>
      </c>
      <c r="H22" s="67">
        <f>41.2+20+8.8</f>
        <v>70</v>
      </c>
      <c r="I22" s="67">
        <f>40+100</f>
        <v>140</v>
      </c>
      <c r="J22" s="68">
        <f>15.6+79.8</f>
        <v>95.399999999999991</v>
      </c>
      <c r="K22" s="67">
        <v>0</v>
      </c>
      <c r="L22" s="69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26"/>
      <c r="S22" s="35"/>
    </row>
    <row r="23" spans="1:19" s="36" customFormat="1" ht="51.75" customHeight="1" x14ac:dyDescent="0.25">
      <c r="A23" s="128"/>
      <c r="B23" s="104"/>
      <c r="C23" s="110"/>
      <c r="D23" s="83" t="s">
        <v>86</v>
      </c>
      <c r="E23" s="73">
        <f t="shared" si="2"/>
        <v>0</v>
      </c>
      <c r="F23" s="67">
        <v>0</v>
      </c>
      <c r="G23" s="67">
        <v>0</v>
      </c>
      <c r="H23" s="67">
        <v>0</v>
      </c>
      <c r="I23" s="67">
        <v>0</v>
      </c>
      <c r="J23" s="68">
        <v>0</v>
      </c>
      <c r="K23" s="67">
        <v>0</v>
      </c>
      <c r="L23" s="69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26"/>
      <c r="S23" s="35"/>
    </row>
    <row r="24" spans="1:19" s="36" customFormat="1" ht="24.75" customHeight="1" x14ac:dyDescent="0.25">
      <c r="A24" s="128"/>
      <c r="B24" s="104"/>
      <c r="C24" s="110"/>
      <c r="D24" s="83" t="s">
        <v>87</v>
      </c>
      <c r="E24" s="73">
        <f t="shared" si="2"/>
        <v>0</v>
      </c>
      <c r="F24" s="67">
        <v>0</v>
      </c>
      <c r="G24" s="67">
        <v>0</v>
      </c>
      <c r="H24" s="67">
        <v>0</v>
      </c>
      <c r="I24" s="67">
        <v>0</v>
      </c>
      <c r="J24" s="68">
        <v>0</v>
      </c>
      <c r="K24" s="67">
        <v>0</v>
      </c>
      <c r="L24" s="69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26"/>
      <c r="S24" s="35"/>
    </row>
    <row r="25" spans="1:19" s="36" customFormat="1" ht="19.899999999999999" customHeight="1" x14ac:dyDescent="0.25">
      <c r="A25" s="128"/>
      <c r="B25" s="104"/>
      <c r="C25" s="111"/>
      <c r="D25" s="83" t="s">
        <v>88</v>
      </c>
      <c r="E25" s="73">
        <f t="shared" si="2"/>
        <v>0</v>
      </c>
      <c r="F25" s="67"/>
      <c r="G25" s="67"/>
      <c r="H25" s="67"/>
      <c r="I25" s="67"/>
      <c r="J25" s="68"/>
      <c r="K25" s="67"/>
      <c r="L25" s="69"/>
      <c r="M25" s="67"/>
      <c r="N25" s="67"/>
      <c r="O25" s="67"/>
      <c r="P25" s="67"/>
      <c r="Q25" s="67">
        <f>250-250</f>
        <v>0</v>
      </c>
      <c r="R25" s="26"/>
      <c r="S25" s="35"/>
    </row>
    <row r="26" spans="1:19" s="36" customFormat="1" ht="19.899999999999999" customHeight="1" x14ac:dyDescent="0.25">
      <c r="A26" s="112" t="s">
        <v>51</v>
      </c>
      <c r="B26" s="115" t="s">
        <v>89</v>
      </c>
      <c r="C26" s="109" t="s">
        <v>22</v>
      </c>
      <c r="D26" s="83" t="s">
        <v>8</v>
      </c>
      <c r="E26" s="73">
        <f>E27+E28+E29+E30+E31+E32</f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26"/>
      <c r="S26" s="35"/>
    </row>
    <row r="27" spans="1:19" s="36" customFormat="1" ht="19.899999999999999" customHeight="1" x14ac:dyDescent="0.25">
      <c r="A27" s="113"/>
      <c r="B27" s="116"/>
      <c r="C27" s="110"/>
      <c r="D27" s="83" t="s">
        <v>23</v>
      </c>
      <c r="E27" s="73"/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26"/>
      <c r="S27" s="35"/>
    </row>
    <row r="28" spans="1:19" s="36" customFormat="1" ht="19.899999999999999" customHeight="1" x14ac:dyDescent="0.25">
      <c r="A28" s="113"/>
      <c r="B28" s="116"/>
      <c r="C28" s="110"/>
      <c r="D28" s="83" t="s">
        <v>24</v>
      </c>
      <c r="E28" s="73"/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26"/>
      <c r="S28" s="35"/>
    </row>
    <row r="29" spans="1:19" s="36" customFormat="1" ht="19.899999999999999" customHeight="1" x14ac:dyDescent="0.25">
      <c r="A29" s="113"/>
      <c r="B29" s="116"/>
      <c r="C29" s="110"/>
      <c r="D29" s="83" t="s">
        <v>25</v>
      </c>
      <c r="E29" s="73"/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26"/>
      <c r="S29" s="35"/>
    </row>
    <row r="30" spans="1:19" s="36" customFormat="1" ht="19.899999999999999" customHeight="1" x14ac:dyDescent="0.25">
      <c r="A30" s="113"/>
      <c r="B30" s="116"/>
      <c r="C30" s="110"/>
      <c r="D30" s="83" t="s">
        <v>86</v>
      </c>
      <c r="E30" s="73"/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26"/>
      <c r="S30" s="35"/>
    </row>
    <row r="31" spans="1:19" s="36" customFormat="1" ht="19.899999999999999" customHeight="1" x14ac:dyDescent="0.25">
      <c r="A31" s="113"/>
      <c r="B31" s="116"/>
      <c r="C31" s="110"/>
      <c r="D31" s="83" t="s">
        <v>87</v>
      </c>
      <c r="E31" s="73"/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26"/>
      <c r="S31" s="35"/>
    </row>
    <row r="32" spans="1:19" s="36" customFormat="1" ht="19.899999999999999" customHeight="1" x14ac:dyDescent="0.25">
      <c r="A32" s="114"/>
      <c r="B32" s="117"/>
      <c r="C32" s="111"/>
      <c r="D32" s="83" t="s">
        <v>88</v>
      </c>
      <c r="E32" s="73"/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26"/>
      <c r="S32" s="35"/>
    </row>
    <row r="33" spans="1:20" s="39" customFormat="1" ht="19.899999999999999" customHeight="1" x14ac:dyDescent="0.2">
      <c r="A33" s="118" t="s">
        <v>51</v>
      </c>
      <c r="B33" s="118" t="s">
        <v>52</v>
      </c>
      <c r="C33" s="109" t="s">
        <v>22</v>
      </c>
      <c r="D33" s="25" t="s">
        <v>8</v>
      </c>
      <c r="E33" s="70">
        <f>SUM(E34:E39)</f>
        <v>1298</v>
      </c>
      <c r="F33" s="70">
        <f t="shared" ref="F33:Q33" si="3">SUM(F34:F39)</f>
        <v>0</v>
      </c>
      <c r="G33" s="70">
        <f t="shared" si="3"/>
        <v>0</v>
      </c>
      <c r="H33" s="70">
        <f t="shared" si="3"/>
        <v>0</v>
      </c>
      <c r="I33" s="70">
        <f t="shared" si="3"/>
        <v>0</v>
      </c>
      <c r="J33" s="71">
        <f t="shared" si="3"/>
        <v>0</v>
      </c>
      <c r="K33" s="70">
        <f t="shared" si="3"/>
        <v>0</v>
      </c>
      <c r="L33" s="72">
        <f t="shared" si="3"/>
        <v>0</v>
      </c>
      <c r="M33" s="70">
        <f t="shared" si="3"/>
        <v>1298</v>
      </c>
      <c r="N33" s="70">
        <f t="shared" si="3"/>
        <v>0</v>
      </c>
      <c r="O33" s="70">
        <f t="shared" si="3"/>
        <v>0</v>
      </c>
      <c r="P33" s="70">
        <f t="shared" si="3"/>
        <v>0</v>
      </c>
      <c r="Q33" s="70">
        <f t="shared" si="3"/>
        <v>0</v>
      </c>
      <c r="R33" s="37"/>
      <c r="S33" s="38"/>
    </row>
    <row r="34" spans="1:20" s="36" customFormat="1" ht="19.899999999999999" customHeight="1" x14ac:dyDescent="0.25">
      <c r="A34" s="119"/>
      <c r="B34" s="120"/>
      <c r="C34" s="110"/>
      <c r="D34" s="11" t="s">
        <v>23</v>
      </c>
      <c r="E34" s="73">
        <f t="shared" ref="E34:E39" si="4">SUM(F34:Q34)</f>
        <v>0</v>
      </c>
      <c r="F34" s="73">
        <v>0</v>
      </c>
      <c r="G34" s="73">
        <v>0</v>
      </c>
      <c r="H34" s="73">
        <v>0</v>
      </c>
      <c r="I34" s="73">
        <v>0</v>
      </c>
      <c r="J34" s="74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26"/>
      <c r="S34" s="35"/>
    </row>
    <row r="35" spans="1:20" s="36" customFormat="1" ht="19.899999999999999" customHeight="1" x14ac:dyDescent="0.25">
      <c r="A35" s="119"/>
      <c r="B35" s="120"/>
      <c r="C35" s="110"/>
      <c r="D35" s="11" t="s">
        <v>24</v>
      </c>
      <c r="E35" s="73">
        <f t="shared" si="4"/>
        <v>0</v>
      </c>
      <c r="F35" s="73">
        <v>0</v>
      </c>
      <c r="G35" s="73">
        <v>0</v>
      </c>
      <c r="H35" s="73">
        <v>0</v>
      </c>
      <c r="I35" s="73">
        <v>0</v>
      </c>
      <c r="J35" s="74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26"/>
      <c r="S35" s="35"/>
    </row>
    <row r="36" spans="1:20" s="36" customFormat="1" ht="20.25" customHeight="1" x14ac:dyDescent="0.25">
      <c r="A36" s="119"/>
      <c r="B36" s="120"/>
      <c r="C36" s="110"/>
      <c r="D36" s="12" t="s">
        <v>25</v>
      </c>
      <c r="E36" s="73">
        <f t="shared" si="4"/>
        <v>1298</v>
      </c>
      <c r="F36" s="73">
        <v>0</v>
      </c>
      <c r="G36" s="73">
        <v>0</v>
      </c>
      <c r="H36" s="73">
        <v>0</v>
      </c>
      <c r="I36" s="73">
        <v>0</v>
      </c>
      <c r="J36" s="74"/>
      <c r="K36" s="73">
        <v>0</v>
      </c>
      <c r="L36" s="73">
        <v>0</v>
      </c>
      <c r="M36" s="73">
        <v>1298</v>
      </c>
      <c r="N36" s="73">
        <f>1298-1298</f>
        <v>0</v>
      </c>
      <c r="O36" s="73">
        <v>0</v>
      </c>
      <c r="P36" s="73">
        <v>0</v>
      </c>
      <c r="Q36" s="73">
        <v>0</v>
      </c>
      <c r="R36" s="37"/>
      <c r="S36" s="35"/>
    </row>
    <row r="37" spans="1:20" s="36" customFormat="1" ht="37.5" customHeight="1" x14ac:dyDescent="0.25">
      <c r="A37" s="119"/>
      <c r="B37" s="120"/>
      <c r="C37" s="110"/>
      <c r="D37" s="13" t="s">
        <v>26</v>
      </c>
      <c r="E37" s="73">
        <f t="shared" si="4"/>
        <v>0</v>
      </c>
      <c r="F37" s="73">
        <v>0</v>
      </c>
      <c r="G37" s="73">
        <v>0</v>
      </c>
      <c r="H37" s="73">
        <v>0</v>
      </c>
      <c r="I37" s="73">
        <v>0</v>
      </c>
      <c r="J37" s="74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26"/>
      <c r="S37" s="35"/>
    </row>
    <row r="38" spans="1:20" s="36" customFormat="1" ht="21.75" customHeight="1" x14ac:dyDescent="0.25">
      <c r="A38" s="119"/>
      <c r="B38" s="120"/>
      <c r="C38" s="110"/>
      <c r="D38" s="13" t="s">
        <v>87</v>
      </c>
      <c r="E38" s="73">
        <f t="shared" si="4"/>
        <v>0</v>
      </c>
      <c r="F38" s="73">
        <v>0</v>
      </c>
      <c r="G38" s="73">
        <v>0</v>
      </c>
      <c r="H38" s="73">
        <v>0</v>
      </c>
      <c r="I38" s="73">
        <v>0</v>
      </c>
      <c r="J38" s="74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26"/>
      <c r="S38" s="35"/>
    </row>
    <row r="39" spans="1:20" s="36" customFormat="1" ht="19.899999999999999" customHeight="1" x14ac:dyDescent="0.25">
      <c r="A39" s="119"/>
      <c r="B39" s="121"/>
      <c r="C39" s="111"/>
      <c r="D39" s="13" t="s">
        <v>88</v>
      </c>
      <c r="E39" s="73">
        <f t="shared" si="4"/>
        <v>0</v>
      </c>
      <c r="F39" s="73">
        <v>0</v>
      </c>
      <c r="G39" s="73">
        <v>0</v>
      </c>
      <c r="H39" s="73">
        <v>0</v>
      </c>
      <c r="I39" s="73">
        <v>0</v>
      </c>
      <c r="J39" s="74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26"/>
      <c r="S39" s="35"/>
    </row>
    <row r="40" spans="1:20" s="41" customFormat="1" ht="15.75" customHeight="1" x14ac:dyDescent="0.2">
      <c r="A40" s="99" t="s">
        <v>54</v>
      </c>
      <c r="B40" s="99" t="s">
        <v>53</v>
      </c>
      <c r="C40" s="100" t="s">
        <v>44</v>
      </c>
      <c r="D40" s="25" t="s">
        <v>8</v>
      </c>
      <c r="E40" s="70">
        <f>SUM(E41:E46)</f>
        <v>146625.08311000001</v>
      </c>
      <c r="F40" s="70">
        <f>F47+F54</f>
        <v>0</v>
      </c>
      <c r="G40" s="70">
        <f t="shared" ref="G40:Q41" si="5">G47+G54</f>
        <v>10</v>
      </c>
      <c r="H40" s="70">
        <f t="shared" si="5"/>
        <v>290</v>
      </c>
      <c r="I40" s="70">
        <f>I47+I54</f>
        <v>92.96011</v>
      </c>
      <c r="J40" s="70">
        <f t="shared" si="5"/>
        <v>700</v>
      </c>
      <c r="K40" s="70">
        <f t="shared" si="5"/>
        <v>0</v>
      </c>
      <c r="L40" s="70">
        <f t="shared" si="5"/>
        <v>2000</v>
      </c>
      <c r="M40" s="70">
        <f t="shared" si="5"/>
        <v>0</v>
      </c>
      <c r="N40" s="70">
        <f t="shared" si="5"/>
        <v>0</v>
      </c>
      <c r="O40" s="70">
        <f t="shared" si="5"/>
        <v>0</v>
      </c>
      <c r="P40" s="70">
        <f t="shared" si="5"/>
        <v>0</v>
      </c>
      <c r="Q40" s="70">
        <f>Q47+Q54</f>
        <v>143532.12299999999</v>
      </c>
      <c r="R40" s="26"/>
      <c r="S40" s="40"/>
    </row>
    <row r="41" spans="1:20" ht="15.75" customHeight="1" x14ac:dyDescent="0.2">
      <c r="A41" s="99"/>
      <c r="B41" s="99"/>
      <c r="C41" s="101"/>
      <c r="D41" s="11" t="s">
        <v>23</v>
      </c>
      <c r="E41" s="73">
        <f t="shared" ref="E41:E46" si="6">SUM(F41:Q41)</f>
        <v>0</v>
      </c>
      <c r="F41" s="73">
        <f>F48+F55</f>
        <v>0</v>
      </c>
      <c r="G41" s="73">
        <f t="shared" si="5"/>
        <v>0</v>
      </c>
      <c r="H41" s="73">
        <f t="shared" si="5"/>
        <v>0</v>
      </c>
      <c r="I41" s="73">
        <f t="shared" si="5"/>
        <v>0</v>
      </c>
      <c r="J41" s="73">
        <f t="shared" si="5"/>
        <v>0</v>
      </c>
      <c r="K41" s="73">
        <f t="shared" si="5"/>
        <v>0</v>
      </c>
      <c r="L41" s="73">
        <f t="shared" si="5"/>
        <v>0</v>
      </c>
      <c r="M41" s="73">
        <f t="shared" si="5"/>
        <v>0</v>
      </c>
      <c r="N41" s="73">
        <f t="shared" si="5"/>
        <v>0</v>
      </c>
      <c r="O41" s="73">
        <f t="shared" si="5"/>
        <v>0</v>
      </c>
      <c r="P41" s="73">
        <f t="shared" si="5"/>
        <v>0</v>
      </c>
      <c r="Q41" s="73">
        <f t="shared" si="5"/>
        <v>0</v>
      </c>
      <c r="R41" s="26"/>
    </row>
    <row r="42" spans="1:20" ht="15.75" customHeight="1" x14ac:dyDescent="0.2">
      <c r="A42" s="99"/>
      <c r="B42" s="99"/>
      <c r="C42" s="101"/>
      <c r="D42" s="11" t="s">
        <v>24</v>
      </c>
      <c r="E42" s="73">
        <f t="shared" si="6"/>
        <v>2700</v>
      </c>
      <c r="F42" s="73">
        <f t="shared" ref="F42:Q46" si="7">F49+F56</f>
        <v>0</v>
      </c>
      <c r="G42" s="73">
        <f t="shared" si="7"/>
        <v>0</v>
      </c>
      <c r="H42" s="73">
        <f t="shared" si="7"/>
        <v>0</v>
      </c>
      <c r="I42" s="73">
        <f t="shared" si="7"/>
        <v>0</v>
      </c>
      <c r="J42" s="73">
        <f t="shared" si="7"/>
        <v>700</v>
      </c>
      <c r="K42" s="73">
        <f t="shared" si="7"/>
        <v>0</v>
      </c>
      <c r="L42" s="73">
        <f t="shared" si="7"/>
        <v>2000</v>
      </c>
      <c r="M42" s="73">
        <f t="shared" si="7"/>
        <v>0</v>
      </c>
      <c r="N42" s="73">
        <f t="shared" si="7"/>
        <v>0</v>
      </c>
      <c r="O42" s="73">
        <f t="shared" si="7"/>
        <v>0</v>
      </c>
      <c r="P42" s="73">
        <f t="shared" si="7"/>
        <v>0</v>
      </c>
      <c r="Q42" s="73">
        <f t="shared" si="7"/>
        <v>0</v>
      </c>
      <c r="R42" s="26"/>
    </row>
    <row r="43" spans="1:20" ht="15.75" customHeight="1" x14ac:dyDescent="0.2">
      <c r="A43" s="99"/>
      <c r="B43" s="99"/>
      <c r="C43" s="101"/>
      <c r="D43" s="12" t="s">
        <v>25</v>
      </c>
      <c r="E43" s="73">
        <f>SUM(F43:Q43)</f>
        <v>392.96010999999999</v>
      </c>
      <c r="F43" s="73">
        <f>F50+F57</f>
        <v>0</v>
      </c>
      <c r="G43" s="73">
        <f t="shared" si="7"/>
        <v>10</v>
      </c>
      <c r="H43" s="73">
        <f t="shared" si="7"/>
        <v>290</v>
      </c>
      <c r="I43" s="73">
        <f>I50+I57</f>
        <v>92.96011</v>
      </c>
      <c r="J43" s="73">
        <f t="shared" si="7"/>
        <v>0</v>
      </c>
      <c r="K43" s="73">
        <f t="shared" si="7"/>
        <v>0</v>
      </c>
      <c r="L43" s="73">
        <f>L50+L57</f>
        <v>0</v>
      </c>
      <c r="M43" s="73">
        <f t="shared" si="7"/>
        <v>0</v>
      </c>
      <c r="N43" s="73">
        <f t="shared" si="7"/>
        <v>0</v>
      </c>
      <c r="O43" s="73">
        <f t="shared" si="7"/>
        <v>0</v>
      </c>
      <c r="P43" s="73">
        <f t="shared" si="7"/>
        <v>0</v>
      </c>
      <c r="Q43" s="73">
        <f t="shared" si="7"/>
        <v>0</v>
      </c>
      <c r="R43" s="26"/>
    </row>
    <row r="44" spans="1:20" s="27" customFormat="1" ht="47.25" customHeight="1" x14ac:dyDescent="0.2">
      <c r="A44" s="99"/>
      <c r="B44" s="99"/>
      <c r="C44" s="101"/>
      <c r="D44" s="13" t="s">
        <v>26</v>
      </c>
      <c r="E44" s="73">
        <f t="shared" si="6"/>
        <v>0</v>
      </c>
      <c r="F44" s="73">
        <f>F51+F58</f>
        <v>0</v>
      </c>
      <c r="G44" s="73">
        <f t="shared" si="7"/>
        <v>0</v>
      </c>
      <c r="H44" s="73">
        <f t="shared" si="7"/>
        <v>0</v>
      </c>
      <c r="I44" s="73">
        <f t="shared" si="7"/>
        <v>0</v>
      </c>
      <c r="J44" s="73">
        <f t="shared" si="7"/>
        <v>0</v>
      </c>
      <c r="K44" s="73">
        <f t="shared" si="7"/>
        <v>0</v>
      </c>
      <c r="L44" s="73">
        <f t="shared" si="7"/>
        <v>0</v>
      </c>
      <c r="M44" s="73">
        <f t="shared" si="7"/>
        <v>0</v>
      </c>
      <c r="N44" s="73">
        <f t="shared" si="7"/>
        <v>0</v>
      </c>
      <c r="O44" s="73">
        <f t="shared" si="7"/>
        <v>0</v>
      </c>
      <c r="P44" s="73">
        <f t="shared" si="7"/>
        <v>0</v>
      </c>
      <c r="Q44" s="73">
        <f t="shared" si="7"/>
        <v>0</v>
      </c>
      <c r="R44" s="26"/>
      <c r="T44" s="22"/>
    </row>
    <row r="45" spans="1:20" s="27" customFormat="1" ht="30" customHeight="1" x14ac:dyDescent="0.2">
      <c r="A45" s="99"/>
      <c r="B45" s="99"/>
      <c r="C45" s="101"/>
      <c r="D45" s="13" t="s">
        <v>87</v>
      </c>
      <c r="E45" s="73">
        <f t="shared" si="6"/>
        <v>0</v>
      </c>
      <c r="F45" s="73">
        <f>F52+F59</f>
        <v>0</v>
      </c>
      <c r="G45" s="73">
        <f t="shared" si="7"/>
        <v>0</v>
      </c>
      <c r="H45" s="73">
        <f t="shared" si="7"/>
        <v>0</v>
      </c>
      <c r="I45" s="73">
        <f t="shared" si="7"/>
        <v>0</v>
      </c>
      <c r="J45" s="73">
        <f t="shared" si="7"/>
        <v>0</v>
      </c>
      <c r="K45" s="73">
        <f t="shared" si="7"/>
        <v>0</v>
      </c>
      <c r="L45" s="73">
        <f t="shared" si="7"/>
        <v>0</v>
      </c>
      <c r="M45" s="73">
        <f t="shared" si="7"/>
        <v>0</v>
      </c>
      <c r="N45" s="73">
        <f t="shared" si="7"/>
        <v>0</v>
      </c>
      <c r="O45" s="73">
        <f t="shared" si="7"/>
        <v>0</v>
      </c>
      <c r="P45" s="73">
        <f t="shared" si="7"/>
        <v>0</v>
      </c>
      <c r="Q45" s="73">
        <f t="shared" si="7"/>
        <v>0</v>
      </c>
      <c r="R45" s="26"/>
      <c r="T45" s="22"/>
    </row>
    <row r="46" spans="1:20" s="27" customFormat="1" ht="23.25" customHeight="1" x14ac:dyDescent="0.2">
      <c r="A46" s="99"/>
      <c r="B46" s="99"/>
      <c r="C46" s="102"/>
      <c r="D46" s="13" t="s">
        <v>88</v>
      </c>
      <c r="E46" s="73">
        <f t="shared" si="6"/>
        <v>143532.12299999999</v>
      </c>
      <c r="F46" s="73">
        <f>F53+F60</f>
        <v>0</v>
      </c>
      <c r="G46" s="73">
        <f t="shared" si="7"/>
        <v>0</v>
      </c>
      <c r="H46" s="73">
        <f t="shared" si="7"/>
        <v>0</v>
      </c>
      <c r="I46" s="73">
        <f t="shared" si="7"/>
        <v>0</v>
      </c>
      <c r="J46" s="73">
        <f t="shared" si="7"/>
        <v>0</v>
      </c>
      <c r="K46" s="73">
        <f t="shared" si="7"/>
        <v>0</v>
      </c>
      <c r="L46" s="73">
        <f t="shared" si="7"/>
        <v>0</v>
      </c>
      <c r="M46" s="73">
        <f t="shared" si="7"/>
        <v>0</v>
      </c>
      <c r="N46" s="73">
        <f t="shared" si="7"/>
        <v>0</v>
      </c>
      <c r="O46" s="73">
        <f t="shared" si="7"/>
        <v>0</v>
      </c>
      <c r="P46" s="73">
        <f t="shared" si="7"/>
        <v>0</v>
      </c>
      <c r="Q46" s="73">
        <f>Q53+Q60</f>
        <v>143532.12299999999</v>
      </c>
      <c r="R46" s="26"/>
      <c r="T46" s="22"/>
    </row>
    <row r="47" spans="1:20" s="27" customFormat="1" ht="23.25" customHeight="1" outlineLevel="1" x14ac:dyDescent="0.2">
      <c r="A47" s="100" t="s">
        <v>56</v>
      </c>
      <c r="B47" s="100" t="s">
        <v>29</v>
      </c>
      <c r="C47" s="109" t="s">
        <v>45</v>
      </c>
      <c r="D47" s="25" t="s">
        <v>8</v>
      </c>
      <c r="E47" s="70">
        <f t="shared" ref="E47:Q47" si="8">SUM(E48:E53)</f>
        <v>20125.08311</v>
      </c>
      <c r="F47" s="70">
        <f t="shared" si="8"/>
        <v>0</v>
      </c>
      <c r="G47" s="70">
        <f t="shared" si="8"/>
        <v>10</v>
      </c>
      <c r="H47" s="70">
        <f t="shared" si="8"/>
        <v>290</v>
      </c>
      <c r="I47" s="70">
        <f t="shared" si="8"/>
        <v>92.96011</v>
      </c>
      <c r="J47" s="71">
        <f t="shared" si="8"/>
        <v>700</v>
      </c>
      <c r="K47" s="70">
        <f t="shared" si="8"/>
        <v>0</v>
      </c>
      <c r="L47" s="72">
        <f t="shared" si="8"/>
        <v>2000</v>
      </c>
      <c r="M47" s="70">
        <f t="shared" si="8"/>
        <v>0</v>
      </c>
      <c r="N47" s="70">
        <f t="shared" si="8"/>
        <v>0</v>
      </c>
      <c r="O47" s="70">
        <f t="shared" si="8"/>
        <v>0</v>
      </c>
      <c r="P47" s="70">
        <f t="shared" si="8"/>
        <v>0</v>
      </c>
      <c r="Q47" s="70">
        <f t="shared" si="8"/>
        <v>17032.123</v>
      </c>
      <c r="R47" s="26"/>
      <c r="T47" s="22"/>
    </row>
    <row r="48" spans="1:20" s="27" customFormat="1" ht="15.75" customHeight="1" outlineLevel="1" x14ac:dyDescent="0.2">
      <c r="A48" s="101"/>
      <c r="B48" s="101"/>
      <c r="C48" s="110"/>
      <c r="D48" s="11" t="s">
        <v>23</v>
      </c>
      <c r="E48" s="73">
        <f t="shared" ref="E48:E52" si="9">SUM(F48:Q48)</f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5">
        <v>0</v>
      </c>
      <c r="M48" s="73">
        <v>0</v>
      </c>
      <c r="N48" s="73">
        <v>0</v>
      </c>
      <c r="O48" s="73">
        <v>0</v>
      </c>
      <c r="P48" s="73">
        <v>0</v>
      </c>
      <c r="Q48" s="73">
        <v>0</v>
      </c>
      <c r="R48" s="26"/>
      <c r="T48" s="22"/>
    </row>
    <row r="49" spans="1:20" s="27" customFormat="1" ht="15.75" customHeight="1" outlineLevel="1" x14ac:dyDescent="0.2">
      <c r="A49" s="101"/>
      <c r="B49" s="101"/>
      <c r="C49" s="110"/>
      <c r="D49" s="11" t="s">
        <v>24</v>
      </c>
      <c r="E49" s="73">
        <f t="shared" si="9"/>
        <v>2700</v>
      </c>
      <c r="F49" s="73">
        <v>0</v>
      </c>
      <c r="G49" s="73">
        <v>0</v>
      </c>
      <c r="H49" s="73">
        <v>0</v>
      </c>
      <c r="I49" s="73">
        <v>0</v>
      </c>
      <c r="J49" s="73">
        <v>700</v>
      </c>
      <c r="K49" s="73">
        <v>0</v>
      </c>
      <c r="L49" s="75">
        <v>2000</v>
      </c>
      <c r="M49" s="73">
        <v>0</v>
      </c>
      <c r="N49" s="73">
        <v>0</v>
      </c>
      <c r="O49" s="73">
        <v>0</v>
      </c>
      <c r="P49" s="73">
        <v>0</v>
      </c>
      <c r="Q49" s="73">
        <v>0</v>
      </c>
      <c r="R49" s="26"/>
      <c r="T49" s="22"/>
    </row>
    <row r="50" spans="1:20" s="27" customFormat="1" ht="15.75" customHeight="1" outlineLevel="1" x14ac:dyDescent="0.2">
      <c r="A50" s="101"/>
      <c r="B50" s="101"/>
      <c r="C50" s="110"/>
      <c r="D50" s="12" t="s">
        <v>25</v>
      </c>
      <c r="E50" s="73">
        <f t="shared" si="9"/>
        <v>392.96010999999999</v>
      </c>
      <c r="F50" s="73"/>
      <c r="G50" s="73">
        <v>10</v>
      </c>
      <c r="H50" s="73">
        <v>290</v>
      </c>
      <c r="I50" s="73">
        <v>92.96011</v>
      </c>
      <c r="J50" s="73"/>
      <c r="K50" s="73"/>
      <c r="L50" s="75">
        <v>0</v>
      </c>
      <c r="M50" s="73"/>
      <c r="N50" s="73"/>
      <c r="O50" s="73"/>
      <c r="P50" s="73"/>
      <c r="Q50" s="73"/>
      <c r="R50" s="26"/>
      <c r="T50" s="22"/>
    </row>
    <row r="51" spans="1:20" s="27" customFormat="1" ht="39.75" customHeight="1" outlineLevel="1" x14ac:dyDescent="0.2">
      <c r="A51" s="101"/>
      <c r="B51" s="101"/>
      <c r="C51" s="110"/>
      <c r="D51" s="13" t="s">
        <v>26</v>
      </c>
      <c r="E51" s="73">
        <f t="shared" si="9"/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5">
        <v>0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26"/>
      <c r="T51" s="22"/>
    </row>
    <row r="52" spans="1:20" s="27" customFormat="1" ht="24" customHeight="1" outlineLevel="1" x14ac:dyDescent="0.2">
      <c r="A52" s="101"/>
      <c r="B52" s="101"/>
      <c r="C52" s="110"/>
      <c r="D52" s="13" t="s">
        <v>87</v>
      </c>
      <c r="E52" s="73">
        <f t="shared" si="9"/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5">
        <v>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26"/>
      <c r="T52" s="22"/>
    </row>
    <row r="53" spans="1:20" s="27" customFormat="1" ht="15.75" customHeight="1" outlineLevel="1" x14ac:dyDescent="0.2">
      <c r="A53" s="102"/>
      <c r="B53" s="102"/>
      <c r="C53" s="111"/>
      <c r="D53" s="13" t="s">
        <v>88</v>
      </c>
      <c r="E53" s="73">
        <f>SUM(F53:Q53)</f>
        <v>17032.123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5">
        <v>0</v>
      </c>
      <c r="M53" s="73">
        <v>0</v>
      </c>
      <c r="N53" s="73">
        <v>0</v>
      </c>
      <c r="O53" s="73">
        <v>0</v>
      </c>
      <c r="P53" s="73">
        <v>0</v>
      </c>
      <c r="Q53" s="76">
        <f>2090-2090+1482.123+300+550+15000-300</f>
        <v>17032.123</v>
      </c>
      <c r="R53" s="37"/>
      <c r="T53" s="22"/>
    </row>
    <row r="54" spans="1:20" s="27" customFormat="1" ht="15.75" customHeight="1" outlineLevel="1" x14ac:dyDescent="0.2">
      <c r="A54" s="100" t="s">
        <v>55</v>
      </c>
      <c r="B54" s="100" t="s">
        <v>85</v>
      </c>
      <c r="C54" s="99" t="s">
        <v>46</v>
      </c>
      <c r="D54" s="25" t="s">
        <v>8</v>
      </c>
      <c r="E54" s="70">
        <f t="shared" ref="E54:P54" si="10">SUM(E55:E60)</f>
        <v>126500</v>
      </c>
      <c r="F54" s="70">
        <f t="shared" si="10"/>
        <v>0</v>
      </c>
      <c r="G54" s="70">
        <f t="shared" si="10"/>
        <v>0</v>
      </c>
      <c r="H54" s="70">
        <f t="shared" si="10"/>
        <v>0</v>
      </c>
      <c r="I54" s="70">
        <f t="shared" si="10"/>
        <v>0</v>
      </c>
      <c r="J54" s="71">
        <f t="shared" si="10"/>
        <v>0</v>
      </c>
      <c r="K54" s="70">
        <f t="shared" si="10"/>
        <v>0</v>
      </c>
      <c r="L54" s="70">
        <f t="shared" si="10"/>
        <v>0</v>
      </c>
      <c r="M54" s="70">
        <f t="shared" si="10"/>
        <v>0</v>
      </c>
      <c r="N54" s="70">
        <f t="shared" si="10"/>
        <v>0</v>
      </c>
      <c r="O54" s="70">
        <f t="shared" si="10"/>
        <v>0</v>
      </c>
      <c r="P54" s="70">
        <f t="shared" si="10"/>
        <v>0</v>
      </c>
      <c r="Q54" s="70">
        <f>SUM(Q55:Q60)</f>
        <v>126500</v>
      </c>
      <c r="R54" s="26"/>
      <c r="T54" s="22"/>
    </row>
    <row r="55" spans="1:20" s="27" customFormat="1" ht="15.75" customHeight="1" outlineLevel="1" x14ac:dyDescent="0.2">
      <c r="A55" s="101"/>
      <c r="B55" s="101"/>
      <c r="C55" s="99"/>
      <c r="D55" s="11" t="s">
        <v>23</v>
      </c>
      <c r="E55" s="73">
        <f t="shared" ref="E55:E60" si="11">SUM(F55:Q55)</f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26"/>
      <c r="T55" s="22"/>
    </row>
    <row r="56" spans="1:20" s="27" customFormat="1" ht="15.75" customHeight="1" outlineLevel="1" x14ac:dyDescent="0.2">
      <c r="A56" s="101"/>
      <c r="B56" s="101"/>
      <c r="C56" s="99"/>
      <c r="D56" s="11" t="s">
        <v>24</v>
      </c>
      <c r="E56" s="73">
        <f t="shared" si="11"/>
        <v>0</v>
      </c>
      <c r="F56" s="73">
        <v>0</v>
      </c>
      <c r="G56" s="73">
        <v>0</v>
      </c>
      <c r="H56" s="73">
        <v>0</v>
      </c>
      <c r="I56" s="73">
        <v>0</v>
      </c>
      <c r="J56" s="73"/>
      <c r="K56" s="73">
        <v>0</v>
      </c>
      <c r="L56" s="73"/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26"/>
      <c r="T56" s="22"/>
    </row>
    <row r="57" spans="1:20" s="27" customFormat="1" ht="15.75" customHeight="1" outlineLevel="1" x14ac:dyDescent="0.2">
      <c r="A57" s="101"/>
      <c r="B57" s="101"/>
      <c r="C57" s="99"/>
      <c r="D57" s="12" t="s">
        <v>25</v>
      </c>
      <c r="E57" s="73">
        <f t="shared" si="11"/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  <c r="Q57" s="73">
        <v>0</v>
      </c>
      <c r="R57" s="26"/>
      <c r="T57" s="22"/>
    </row>
    <row r="58" spans="1:20" s="27" customFormat="1" ht="45" customHeight="1" outlineLevel="1" x14ac:dyDescent="0.2">
      <c r="A58" s="101"/>
      <c r="B58" s="101"/>
      <c r="C58" s="99"/>
      <c r="D58" s="13" t="s">
        <v>26</v>
      </c>
      <c r="E58" s="73">
        <f t="shared" si="11"/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  <c r="Q58" s="73">
        <v>0</v>
      </c>
      <c r="R58" s="26"/>
      <c r="T58" s="22"/>
    </row>
    <row r="59" spans="1:20" s="27" customFormat="1" ht="15.75" customHeight="1" outlineLevel="1" x14ac:dyDescent="0.2">
      <c r="A59" s="101"/>
      <c r="B59" s="101"/>
      <c r="C59" s="99"/>
      <c r="D59" s="13" t="s">
        <v>87</v>
      </c>
      <c r="E59" s="73">
        <f t="shared" si="11"/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  <c r="R59" s="26"/>
      <c r="T59" s="22"/>
    </row>
    <row r="60" spans="1:20" s="27" customFormat="1" ht="24.75" customHeight="1" outlineLevel="1" x14ac:dyDescent="0.2">
      <c r="A60" s="102"/>
      <c r="B60" s="102"/>
      <c r="C60" s="99"/>
      <c r="D60" s="13" t="s">
        <v>88</v>
      </c>
      <c r="E60" s="73">
        <f t="shared" si="11"/>
        <v>126500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  <c r="Q60" s="76">
        <f>135000-15000+6500</f>
        <v>126500</v>
      </c>
      <c r="T60" s="22"/>
    </row>
    <row r="61" spans="1:20" ht="15.75" customHeight="1" x14ac:dyDescent="0.2">
      <c r="A61" s="100" t="s">
        <v>58</v>
      </c>
      <c r="B61" s="100" t="s">
        <v>57</v>
      </c>
      <c r="C61" s="106" t="s">
        <v>30</v>
      </c>
      <c r="D61" s="25" t="s">
        <v>8</v>
      </c>
      <c r="E61" s="70">
        <f t="shared" ref="E61:Q61" si="12">SUM(E62:E67)</f>
        <v>190459.03101000001</v>
      </c>
      <c r="F61" s="70">
        <f>SUM(F62:F67)</f>
        <v>4408.0129200000001</v>
      </c>
      <c r="G61" s="70">
        <f t="shared" si="12"/>
        <v>13873.238589999999</v>
      </c>
      <c r="H61" s="70">
        <f t="shared" si="12"/>
        <v>14346.46435</v>
      </c>
      <c r="I61" s="70">
        <f t="shared" si="12"/>
        <v>13816.401330000001</v>
      </c>
      <c r="J61" s="71">
        <f t="shared" si="12"/>
        <v>13916.116509999998</v>
      </c>
      <c r="K61" s="70">
        <f t="shared" si="12"/>
        <v>15738.2081</v>
      </c>
      <c r="L61" s="72">
        <f t="shared" si="12"/>
        <v>11681.93715</v>
      </c>
      <c r="M61" s="70">
        <f t="shared" si="12"/>
        <v>6457.9231399999999</v>
      </c>
      <c r="N61" s="70">
        <f t="shared" si="12"/>
        <v>6308.9155800000008</v>
      </c>
      <c r="O61" s="70">
        <f t="shared" si="12"/>
        <v>7212.9183700000003</v>
      </c>
      <c r="P61" s="70">
        <f t="shared" si="12"/>
        <v>5910.5317299999997</v>
      </c>
      <c r="Q61" s="70">
        <f t="shared" si="12"/>
        <v>76788.363240000006</v>
      </c>
      <c r="R61" s="26"/>
    </row>
    <row r="62" spans="1:20" ht="15.75" customHeight="1" x14ac:dyDescent="0.2">
      <c r="A62" s="101"/>
      <c r="B62" s="101"/>
      <c r="C62" s="107"/>
      <c r="D62" s="11" t="s">
        <v>23</v>
      </c>
      <c r="E62" s="73">
        <f t="shared" ref="E62:E67" si="13">SUM(F62:Q62)</f>
        <v>0</v>
      </c>
      <c r="F62" s="73">
        <f t="shared" ref="F62:Q67" si="14">F69+F76+F83</f>
        <v>0</v>
      </c>
      <c r="G62" s="73">
        <f t="shared" si="14"/>
        <v>0</v>
      </c>
      <c r="H62" s="73">
        <f t="shared" si="14"/>
        <v>0</v>
      </c>
      <c r="I62" s="73">
        <f t="shared" si="14"/>
        <v>0</v>
      </c>
      <c r="J62" s="74">
        <f t="shared" si="14"/>
        <v>0</v>
      </c>
      <c r="K62" s="73">
        <f t="shared" si="14"/>
        <v>0</v>
      </c>
      <c r="L62" s="75">
        <f t="shared" si="14"/>
        <v>0</v>
      </c>
      <c r="M62" s="73">
        <f t="shared" si="14"/>
        <v>0</v>
      </c>
      <c r="N62" s="73">
        <f t="shared" si="14"/>
        <v>0</v>
      </c>
      <c r="O62" s="73">
        <f t="shared" si="14"/>
        <v>0</v>
      </c>
      <c r="P62" s="73">
        <f t="shared" si="14"/>
        <v>0</v>
      </c>
      <c r="Q62" s="73">
        <f t="shared" si="14"/>
        <v>0</v>
      </c>
      <c r="R62" s="26"/>
    </row>
    <row r="63" spans="1:20" ht="15.75" customHeight="1" x14ac:dyDescent="0.2">
      <c r="A63" s="101"/>
      <c r="B63" s="101"/>
      <c r="C63" s="107"/>
      <c r="D63" s="11" t="s">
        <v>24</v>
      </c>
      <c r="E63" s="73">
        <f t="shared" si="13"/>
        <v>0</v>
      </c>
      <c r="F63" s="73">
        <f t="shared" si="14"/>
        <v>0</v>
      </c>
      <c r="G63" s="73">
        <f t="shared" si="14"/>
        <v>0</v>
      </c>
      <c r="H63" s="73">
        <f t="shared" si="14"/>
        <v>0</v>
      </c>
      <c r="I63" s="73">
        <f t="shared" si="14"/>
        <v>0</v>
      </c>
      <c r="J63" s="74">
        <f t="shared" si="14"/>
        <v>0</v>
      </c>
      <c r="K63" s="73">
        <f t="shared" si="14"/>
        <v>0</v>
      </c>
      <c r="L63" s="75">
        <f t="shared" si="14"/>
        <v>0</v>
      </c>
      <c r="M63" s="73">
        <f t="shared" si="14"/>
        <v>0</v>
      </c>
      <c r="N63" s="73">
        <f t="shared" si="14"/>
        <v>0</v>
      </c>
      <c r="O63" s="73">
        <f t="shared" si="14"/>
        <v>0</v>
      </c>
      <c r="P63" s="73">
        <f t="shared" si="14"/>
        <v>0</v>
      </c>
      <c r="Q63" s="73">
        <f t="shared" si="14"/>
        <v>0</v>
      </c>
      <c r="R63" s="26"/>
    </row>
    <row r="64" spans="1:20" ht="15.75" customHeight="1" x14ac:dyDescent="0.3">
      <c r="A64" s="101"/>
      <c r="B64" s="101"/>
      <c r="C64" s="107"/>
      <c r="D64" s="12" t="s">
        <v>25</v>
      </c>
      <c r="E64" s="73">
        <f>SUM(F64:Q64)</f>
        <v>121300.81320999999</v>
      </c>
      <c r="F64" s="73">
        <f>F71+F78+F85</f>
        <v>4408.0129200000001</v>
      </c>
      <c r="G64" s="73">
        <f t="shared" si="14"/>
        <v>13873.238589999999</v>
      </c>
      <c r="H64" s="73">
        <f t="shared" si="14"/>
        <v>14346.46435</v>
      </c>
      <c r="I64" s="73">
        <f t="shared" si="14"/>
        <v>13816.401330000001</v>
      </c>
      <c r="J64" s="73">
        <f t="shared" si="14"/>
        <v>13916.116509999998</v>
      </c>
      <c r="K64" s="73">
        <f t="shared" si="14"/>
        <v>15738.2081</v>
      </c>
      <c r="L64" s="73">
        <f t="shared" si="14"/>
        <v>11681.93715</v>
      </c>
      <c r="M64" s="73">
        <f t="shared" si="14"/>
        <v>6457.9231399999999</v>
      </c>
      <c r="N64" s="73">
        <f t="shared" si="14"/>
        <v>6308.9155800000008</v>
      </c>
      <c r="O64" s="73">
        <f t="shared" si="14"/>
        <v>7212.9183700000003</v>
      </c>
      <c r="P64" s="73">
        <f t="shared" si="14"/>
        <v>5910.5317299999997</v>
      </c>
      <c r="Q64" s="73">
        <f t="shared" si="14"/>
        <v>7630.1454400000002</v>
      </c>
      <c r="R64" s="26"/>
      <c r="S64" s="42"/>
    </row>
    <row r="65" spans="1:25" ht="44.25" customHeight="1" x14ac:dyDescent="0.2">
      <c r="A65" s="101"/>
      <c r="B65" s="101"/>
      <c r="C65" s="107"/>
      <c r="D65" s="13" t="s">
        <v>26</v>
      </c>
      <c r="E65" s="73">
        <f t="shared" si="13"/>
        <v>0</v>
      </c>
      <c r="F65" s="73">
        <f>F72+F79+F86</f>
        <v>0</v>
      </c>
      <c r="G65" s="73">
        <f t="shared" si="14"/>
        <v>0</v>
      </c>
      <c r="H65" s="73">
        <f t="shared" si="14"/>
        <v>0</v>
      </c>
      <c r="I65" s="73">
        <f t="shared" si="14"/>
        <v>0</v>
      </c>
      <c r="J65" s="74">
        <f t="shared" si="14"/>
        <v>0</v>
      </c>
      <c r="K65" s="73">
        <f t="shared" si="14"/>
        <v>0</v>
      </c>
      <c r="L65" s="75">
        <f t="shared" si="14"/>
        <v>0</v>
      </c>
      <c r="M65" s="73">
        <f t="shared" si="14"/>
        <v>0</v>
      </c>
      <c r="N65" s="73">
        <f t="shared" si="14"/>
        <v>0</v>
      </c>
      <c r="O65" s="73">
        <f t="shared" si="14"/>
        <v>0</v>
      </c>
      <c r="P65" s="73">
        <f t="shared" si="14"/>
        <v>0</v>
      </c>
      <c r="Q65" s="73">
        <f t="shared" si="14"/>
        <v>0</v>
      </c>
      <c r="R65" s="26"/>
    </row>
    <row r="66" spans="1:25" ht="31.5" customHeight="1" x14ac:dyDescent="0.2">
      <c r="A66" s="101"/>
      <c r="B66" s="101"/>
      <c r="C66" s="107"/>
      <c r="D66" s="13" t="s">
        <v>87</v>
      </c>
      <c r="E66" s="73">
        <f t="shared" si="13"/>
        <v>0</v>
      </c>
      <c r="F66" s="73">
        <f>F73+F80+F87</f>
        <v>0</v>
      </c>
      <c r="G66" s="73">
        <f t="shared" si="14"/>
        <v>0</v>
      </c>
      <c r="H66" s="73">
        <f t="shared" si="14"/>
        <v>0</v>
      </c>
      <c r="I66" s="73">
        <f t="shared" si="14"/>
        <v>0</v>
      </c>
      <c r="J66" s="74">
        <f t="shared" si="14"/>
        <v>0</v>
      </c>
      <c r="K66" s="73">
        <f t="shared" si="14"/>
        <v>0</v>
      </c>
      <c r="L66" s="75">
        <f t="shared" si="14"/>
        <v>0</v>
      </c>
      <c r="M66" s="73">
        <f t="shared" si="14"/>
        <v>0</v>
      </c>
      <c r="N66" s="73">
        <f t="shared" si="14"/>
        <v>0</v>
      </c>
      <c r="O66" s="73">
        <f t="shared" si="14"/>
        <v>0</v>
      </c>
      <c r="P66" s="73">
        <f t="shared" si="14"/>
        <v>0</v>
      </c>
      <c r="Q66" s="73">
        <f t="shared" si="14"/>
        <v>0</v>
      </c>
      <c r="R66" s="26"/>
    </row>
    <row r="67" spans="1:25" ht="18.75" customHeight="1" x14ac:dyDescent="0.2">
      <c r="A67" s="101"/>
      <c r="B67" s="101"/>
      <c r="C67" s="108"/>
      <c r="D67" s="13" t="s">
        <v>88</v>
      </c>
      <c r="E67" s="73">
        <f t="shared" si="13"/>
        <v>69158.217800000013</v>
      </c>
      <c r="F67" s="73">
        <f>F74+F81+F88</f>
        <v>0</v>
      </c>
      <c r="G67" s="73">
        <f t="shared" si="14"/>
        <v>0</v>
      </c>
      <c r="H67" s="73">
        <f t="shared" si="14"/>
        <v>0</v>
      </c>
      <c r="I67" s="73">
        <f t="shared" si="14"/>
        <v>0</v>
      </c>
      <c r="J67" s="73">
        <f t="shared" si="14"/>
        <v>0</v>
      </c>
      <c r="K67" s="73">
        <f t="shared" si="14"/>
        <v>0</v>
      </c>
      <c r="L67" s="73">
        <f t="shared" si="14"/>
        <v>0</v>
      </c>
      <c r="M67" s="73">
        <f t="shared" si="14"/>
        <v>0</v>
      </c>
      <c r="N67" s="73">
        <f t="shared" si="14"/>
        <v>0</v>
      </c>
      <c r="O67" s="73">
        <f t="shared" si="14"/>
        <v>0</v>
      </c>
      <c r="P67" s="73">
        <f t="shared" si="14"/>
        <v>0</v>
      </c>
      <c r="Q67" s="73">
        <f>Q74+Q81+Q88</f>
        <v>69158.217800000013</v>
      </c>
      <c r="R67" s="26"/>
    </row>
    <row r="68" spans="1:25" ht="15.75" customHeight="1" x14ac:dyDescent="0.2">
      <c r="A68" s="100" t="s">
        <v>59</v>
      </c>
      <c r="B68" s="100" t="s">
        <v>31</v>
      </c>
      <c r="C68" s="100" t="s">
        <v>41</v>
      </c>
      <c r="D68" s="14" t="s">
        <v>8</v>
      </c>
      <c r="E68" s="70">
        <f t="shared" ref="E68" si="15">SUM(E69:E74)</f>
        <v>120143.35227</v>
      </c>
      <c r="F68" s="70">
        <f>F69+F70+F71+F72+F74</f>
        <v>2705.28692</v>
      </c>
      <c r="G68" s="70">
        <f t="shared" ref="G68:Q68" si="16">G69+G70+G71+G72+G74</f>
        <v>9051.7622699999993</v>
      </c>
      <c r="H68" s="70">
        <f t="shared" si="16"/>
        <v>10063.896909999999</v>
      </c>
      <c r="I68" s="70">
        <f t="shared" si="16"/>
        <v>9231.7373100000004</v>
      </c>
      <c r="J68" s="70">
        <f t="shared" si="16"/>
        <v>9762.1704899999986</v>
      </c>
      <c r="K68" s="70">
        <f t="shared" si="16"/>
        <v>11964.2099</v>
      </c>
      <c r="L68" s="70">
        <f t="shared" si="16"/>
        <v>8666.8839499999995</v>
      </c>
      <c r="M68" s="70">
        <f t="shared" si="16"/>
        <v>4549.0471399999997</v>
      </c>
      <c r="N68" s="70">
        <f t="shared" si="16"/>
        <v>4790.5255800000004</v>
      </c>
      <c r="O68" s="70">
        <f t="shared" si="16"/>
        <v>5046.7883700000002</v>
      </c>
      <c r="P68" s="70">
        <f t="shared" si="16"/>
        <v>4542.7257300000001</v>
      </c>
      <c r="Q68" s="70">
        <f t="shared" si="16"/>
        <v>39768.317700000007</v>
      </c>
      <c r="R68" s="26"/>
    </row>
    <row r="69" spans="1:25" ht="15.75" customHeight="1" x14ac:dyDescent="0.2">
      <c r="A69" s="101"/>
      <c r="B69" s="101"/>
      <c r="C69" s="101"/>
      <c r="D69" s="11" t="s">
        <v>23</v>
      </c>
      <c r="E69" s="73">
        <f t="shared" ref="E69:E74" si="17">SUM(F69:Q69)</f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  <c r="Q69" s="73">
        <v>0</v>
      </c>
      <c r="R69" s="26"/>
      <c r="S69" s="43"/>
      <c r="T69" s="44"/>
    </row>
    <row r="70" spans="1:25" ht="15.75" customHeight="1" x14ac:dyDescent="0.2">
      <c r="A70" s="101"/>
      <c r="B70" s="101"/>
      <c r="C70" s="101"/>
      <c r="D70" s="11" t="s">
        <v>24</v>
      </c>
      <c r="E70" s="73">
        <f t="shared" si="17"/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  <c r="Q70" s="73">
        <v>0</v>
      </c>
      <c r="R70" s="26"/>
      <c r="S70" s="43"/>
      <c r="T70" s="44"/>
      <c r="X70" s="45"/>
      <c r="Y70" s="45"/>
    </row>
    <row r="71" spans="1:25" ht="15.75" customHeight="1" x14ac:dyDescent="0.3">
      <c r="A71" s="101"/>
      <c r="B71" s="101"/>
      <c r="C71" s="101"/>
      <c r="D71" s="12" t="s">
        <v>25</v>
      </c>
      <c r="E71" s="65">
        <f>SUM(F71:Q71)</f>
        <v>86637.470119999998</v>
      </c>
      <c r="F71" s="73">
        <v>2705.28692</v>
      </c>
      <c r="G71" s="73">
        <v>9051.7622699999993</v>
      </c>
      <c r="H71" s="73">
        <f>9463.89691+600</f>
        <v>10063.896909999999</v>
      </c>
      <c r="I71" s="73">
        <f>9243.06142-4.65+71.997-92.96011+14.289</f>
        <v>9231.7373100000004</v>
      </c>
      <c r="J71" s="73">
        <f>9646.04899+116.1215</f>
        <v>9762.1704899999986</v>
      </c>
      <c r="K71" s="73">
        <f>12413.9959-46.686-200-200-3.1</f>
        <v>11964.2099</v>
      </c>
      <c r="L71" s="73">
        <f>8967.01795-297.034-3.1</f>
        <v>8666.8839499999995</v>
      </c>
      <c r="M71" s="73">
        <f>4849.18114-297.034-3.1</f>
        <v>4549.0471399999997</v>
      </c>
      <c r="N71" s="73">
        <f>5092.84908-297.034-5.2895</f>
        <v>4790.5255800000004</v>
      </c>
      <c r="O71" s="73">
        <f>5447.60937-400-0.821</f>
        <v>5046.7883700000002</v>
      </c>
      <c r="P71" s="73">
        <f>4742.72573-200</f>
        <v>4542.7257300000001</v>
      </c>
      <c r="Q71" s="73">
        <f>6377.43555-115</f>
        <v>6262.4355500000001</v>
      </c>
      <c r="R71" s="37"/>
      <c r="S71" s="46"/>
      <c r="T71" s="44"/>
      <c r="V71" s="45"/>
      <c r="X71" s="47"/>
    </row>
    <row r="72" spans="1:25" ht="40.5" customHeight="1" x14ac:dyDescent="0.2">
      <c r="A72" s="101"/>
      <c r="B72" s="101"/>
      <c r="C72" s="101"/>
      <c r="D72" s="13" t="s">
        <v>26</v>
      </c>
      <c r="E72" s="73">
        <f t="shared" si="17"/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  <c r="Q72" s="73">
        <v>0</v>
      </c>
      <c r="R72" s="26"/>
      <c r="S72" s="43"/>
      <c r="T72" s="44"/>
    </row>
    <row r="73" spans="1:25" ht="26.25" customHeight="1" x14ac:dyDescent="0.2">
      <c r="A73" s="101"/>
      <c r="B73" s="101"/>
      <c r="C73" s="101"/>
      <c r="D73" s="13" t="s">
        <v>87</v>
      </c>
      <c r="E73" s="73">
        <f t="shared" si="17"/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26"/>
      <c r="S73" s="43"/>
      <c r="T73" s="44"/>
    </row>
    <row r="74" spans="1:25" ht="24" customHeight="1" x14ac:dyDescent="0.2">
      <c r="A74" s="101"/>
      <c r="B74" s="101"/>
      <c r="C74" s="102"/>
      <c r="D74" s="13" t="s">
        <v>88</v>
      </c>
      <c r="E74" s="73">
        <f t="shared" si="17"/>
        <v>33505.882150000005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  <c r="Q74" s="73">
        <f>13466.84331+934.60064+19104.4382</f>
        <v>33505.882150000005</v>
      </c>
      <c r="R74" s="26"/>
    </row>
    <row r="75" spans="1:25" ht="15.75" customHeight="1" x14ac:dyDescent="0.2">
      <c r="A75" s="101"/>
      <c r="B75" s="101"/>
      <c r="C75" s="99" t="s">
        <v>77</v>
      </c>
      <c r="D75" s="14" t="s">
        <v>8</v>
      </c>
      <c r="E75" s="70">
        <f t="shared" ref="E75:Q75" si="18">SUM(E76:E81)</f>
        <v>33562.344700000001</v>
      </c>
      <c r="F75" s="70">
        <f t="shared" si="18"/>
        <v>1087.0260000000001</v>
      </c>
      <c r="G75" s="70">
        <f t="shared" si="18"/>
        <v>3916.431</v>
      </c>
      <c r="H75" s="70">
        <f t="shared" si="18"/>
        <v>3029.529</v>
      </c>
      <c r="I75" s="70">
        <f t="shared" si="18"/>
        <v>2785.86</v>
      </c>
      <c r="J75" s="71">
        <f t="shared" si="18"/>
        <v>3086.1039999999998</v>
      </c>
      <c r="K75" s="70">
        <f t="shared" si="18"/>
        <v>3059.0189999999998</v>
      </c>
      <c r="L75" s="72">
        <f t="shared" si="18"/>
        <v>2197.5452</v>
      </c>
      <c r="M75" s="70">
        <f t="shared" si="18"/>
        <v>1248.8209999999999</v>
      </c>
      <c r="N75" s="70">
        <f t="shared" si="18"/>
        <v>934.45100000000002</v>
      </c>
      <c r="O75" s="70">
        <f t="shared" si="18"/>
        <v>912.09</v>
      </c>
      <c r="P75" s="70">
        <f t="shared" si="18"/>
        <v>882.29399999999998</v>
      </c>
      <c r="Q75" s="70">
        <f t="shared" si="18"/>
        <v>10423.174500000001</v>
      </c>
      <c r="R75" s="26"/>
      <c r="S75" s="43"/>
      <c r="T75" s="44"/>
    </row>
    <row r="76" spans="1:25" ht="15.75" customHeight="1" x14ac:dyDescent="0.2">
      <c r="A76" s="101"/>
      <c r="B76" s="101"/>
      <c r="C76" s="99"/>
      <c r="D76" s="11" t="s">
        <v>23</v>
      </c>
      <c r="E76" s="73">
        <f t="shared" ref="E76:E81" si="19">SUM(F76:Q76)</f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3">
        <v>0</v>
      </c>
      <c r="Q76" s="73">
        <v>0</v>
      </c>
      <c r="R76" s="26"/>
      <c r="S76" s="43"/>
      <c r="T76" s="44"/>
    </row>
    <row r="77" spans="1:25" ht="15.75" customHeight="1" x14ac:dyDescent="0.2">
      <c r="A77" s="101"/>
      <c r="B77" s="101"/>
      <c r="C77" s="99"/>
      <c r="D77" s="11" t="s">
        <v>24</v>
      </c>
      <c r="E77" s="73">
        <f t="shared" si="19"/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  <c r="Q77" s="73">
        <v>0</v>
      </c>
      <c r="R77" s="26"/>
      <c r="S77" s="43"/>
      <c r="T77" s="44"/>
    </row>
    <row r="78" spans="1:25" ht="15.75" customHeight="1" x14ac:dyDescent="0.3">
      <c r="A78" s="101"/>
      <c r="B78" s="101"/>
      <c r="C78" s="99"/>
      <c r="D78" s="12" t="s">
        <v>25</v>
      </c>
      <c r="E78" s="73">
        <f t="shared" si="19"/>
        <v>24398.214090000005</v>
      </c>
      <c r="F78" s="73">
        <v>1087.0260000000001</v>
      </c>
      <c r="G78" s="73">
        <f>3916.431</f>
        <v>3916.431</v>
      </c>
      <c r="H78" s="73">
        <v>3029.529</v>
      </c>
      <c r="I78" s="73">
        <f>2781.21+4.65</f>
        <v>2785.86</v>
      </c>
      <c r="J78" s="73">
        <v>3086.1039999999998</v>
      </c>
      <c r="K78" s="73">
        <f>3119.019-60</f>
        <v>3059.0189999999998</v>
      </c>
      <c r="L78" s="73">
        <f>2297.5452-100</f>
        <v>2197.5452</v>
      </c>
      <c r="M78" s="73">
        <v>1248.8209999999999</v>
      </c>
      <c r="N78" s="73">
        <v>934.45100000000002</v>
      </c>
      <c r="O78" s="73">
        <v>912.09</v>
      </c>
      <c r="P78" s="73">
        <f>882.294</f>
        <v>882.29399999999998</v>
      </c>
      <c r="Q78" s="73">
        <v>1259.0438899999999</v>
      </c>
      <c r="R78" s="22"/>
      <c r="S78" s="46"/>
      <c r="T78" s="44"/>
    </row>
    <row r="79" spans="1:25" ht="47.25" customHeight="1" x14ac:dyDescent="0.2">
      <c r="A79" s="101"/>
      <c r="B79" s="101"/>
      <c r="C79" s="99"/>
      <c r="D79" s="13" t="s">
        <v>26</v>
      </c>
      <c r="E79" s="73">
        <f t="shared" si="19"/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  <c r="Q79" s="73">
        <v>0</v>
      </c>
      <c r="R79" s="26"/>
      <c r="S79" s="43"/>
      <c r="T79" s="44"/>
    </row>
    <row r="80" spans="1:25" ht="15" customHeight="1" x14ac:dyDescent="0.2">
      <c r="A80" s="101"/>
      <c r="B80" s="101"/>
      <c r="C80" s="99"/>
      <c r="D80" s="13" t="s">
        <v>27</v>
      </c>
      <c r="E80" s="73">
        <f t="shared" si="19"/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  <c r="Q80" s="73">
        <v>0</v>
      </c>
      <c r="R80" s="26"/>
      <c r="S80" s="43"/>
      <c r="T80" s="44"/>
    </row>
    <row r="81" spans="1:20" ht="24" customHeight="1" x14ac:dyDescent="0.2">
      <c r="A81" s="101"/>
      <c r="B81" s="101"/>
      <c r="C81" s="99"/>
      <c r="D81" s="13" t="s">
        <v>28</v>
      </c>
      <c r="E81" s="73">
        <f t="shared" si="19"/>
        <v>9164.1306100000002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  <c r="Q81" s="81">
        <f>2853.21461+6310.916</f>
        <v>9164.1306100000002</v>
      </c>
      <c r="R81" s="26"/>
      <c r="S81" s="48"/>
      <c r="T81" s="49"/>
    </row>
    <row r="82" spans="1:20" ht="15.75" customHeight="1" x14ac:dyDescent="0.2">
      <c r="A82" s="100" t="s">
        <v>60</v>
      </c>
      <c r="B82" s="100" t="s">
        <v>33</v>
      </c>
      <c r="C82" s="100" t="s">
        <v>42</v>
      </c>
      <c r="D82" s="14" t="s">
        <v>8</v>
      </c>
      <c r="E82" s="70">
        <f t="shared" ref="E82:Q82" si="20">SUM(E83:E88)</f>
        <v>36753.334040000002</v>
      </c>
      <c r="F82" s="70">
        <f t="shared" si="20"/>
        <v>615.69999999999993</v>
      </c>
      <c r="G82" s="70">
        <f t="shared" si="20"/>
        <v>905.04531999999995</v>
      </c>
      <c r="H82" s="70">
        <f t="shared" si="20"/>
        <v>1253.03844</v>
      </c>
      <c r="I82" s="70">
        <f t="shared" si="20"/>
        <v>1798.80402</v>
      </c>
      <c r="J82" s="71">
        <f t="shared" si="20"/>
        <v>1067.84202</v>
      </c>
      <c r="K82" s="70">
        <f t="shared" si="20"/>
        <v>714.97919999999999</v>
      </c>
      <c r="L82" s="72">
        <f t="shared" si="20"/>
        <v>817.50799999999992</v>
      </c>
      <c r="M82" s="70">
        <f t="shared" si="20"/>
        <v>660.05500000000006</v>
      </c>
      <c r="N82" s="70">
        <f t="shared" si="20"/>
        <v>583.93899999999996</v>
      </c>
      <c r="O82" s="70">
        <f t="shared" si="20"/>
        <v>1254.04</v>
      </c>
      <c r="P82" s="70">
        <f t="shared" si="20"/>
        <v>485.51199999999994</v>
      </c>
      <c r="Q82" s="70">
        <f t="shared" si="20"/>
        <v>26596.871040000002</v>
      </c>
      <c r="R82" s="26"/>
    </row>
    <row r="83" spans="1:20" ht="15.75" customHeight="1" x14ac:dyDescent="0.2">
      <c r="A83" s="101"/>
      <c r="B83" s="101"/>
      <c r="C83" s="101"/>
      <c r="D83" s="11" t="s">
        <v>23</v>
      </c>
      <c r="E83" s="73">
        <f t="shared" ref="E83:E88" si="21">SUM(F83:Q83)</f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  <c r="K83" s="73">
        <v>0</v>
      </c>
      <c r="L83" s="73">
        <v>0</v>
      </c>
      <c r="M83" s="73">
        <v>0</v>
      </c>
      <c r="N83" s="73">
        <v>0</v>
      </c>
      <c r="O83" s="73">
        <v>0</v>
      </c>
      <c r="P83" s="73">
        <v>0</v>
      </c>
      <c r="Q83" s="73">
        <v>0</v>
      </c>
      <c r="R83" s="26"/>
    </row>
    <row r="84" spans="1:20" ht="15.75" customHeight="1" x14ac:dyDescent="0.2">
      <c r="A84" s="101"/>
      <c r="B84" s="101"/>
      <c r="C84" s="101"/>
      <c r="D84" s="11" t="s">
        <v>24</v>
      </c>
      <c r="E84" s="73">
        <f t="shared" si="21"/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  <c r="K84" s="73">
        <v>0</v>
      </c>
      <c r="L84" s="73">
        <v>0</v>
      </c>
      <c r="M84" s="73">
        <v>0</v>
      </c>
      <c r="N84" s="73">
        <v>0</v>
      </c>
      <c r="O84" s="73">
        <v>0</v>
      </c>
      <c r="P84" s="73">
        <v>0</v>
      </c>
      <c r="Q84" s="73">
        <v>0</v>
      </c>
      <c r="R84" s="26"/>
    </row>
    <row r="85" spans="1:20" ht="15.75" customHeight="1" x14ac:dyDescent="0.2">
      <c r="A85" s="101"/>
      <c r="B85" s="101"/>
      <c r="C85" s="101"/>
      <c r="D85" s="12" t="s">
        <v>25</v>
      </c>
      <c r="E85" s="73">
        <f t="shared" si="21"/>
        <v>10265.129000000001</v>
      </c>
      <c r="F85" s="73">
        <f>616.9-1.2</f>
        <v>615.69999999999993</v>
      </c>
      <c r="G85" s="73">
        <f>1171.24532-221+-33.6+-1.6-10</f>
        <v>905.04531999999995</v>
      </c>
      <c r="H85" s="73">
        <f>1613.03844-20+-50-290</f>
        <v>1253.03844</v>
      </c>
      <c r="I85" s="73">
        <f>1058.80402+280-40+-100+600</f>
        <v>1798.80402</v>
      </c>
      <c r="J85" s="74">
        <f>1365.24202-15.6+-79.8-202</f>
        <v>1067.84202</v>
      </c>
      <c r="K85" s="73">
        <v>714.97919999999999</v>
      </c>
      <c r="L85" s="73">
        <f>1034.408-216.9</f>
        <v>817.50799999999992</v>
      </c>
      <c r="M85" s="73">
        <f>570.955-112.9+202</f>
        <v>660.05500000000006</v>
      </c>
      <c r="N85" s="73">
        <f>554.539-30.6+60</f>
        <v>583.93899999999996</v>
      </c>
      <c r="O85" s="73">
        <f>1838.64-584.6</f>
        <v>1254.04</v>
      </c>
      <c r="P85" s="73">
        <f>540.512-55</f>
        <v>485.51199999999994</v>
      </c>
      <c r="Q85" s="73">
        <v>108.666</v>
      </c>
      <c r="R85" s="37"/>
    </row>
    <row r="86" spans="1:20" ht="44.25" customHeight="1" x14ac:dyDescent="0.2">
      <c r="A86" s="101"/>
      <c r="B86" s="101"/>
      <c r="C86" s="101"/>
      <c r="D86" s="13" t="s">
        <v>26</v>
      </c>
      <c r="E86" s="73">
        <f t="shared" si="21"/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  <c r="Q86" s="73">
        <v>0</v>
      </c>
      <c r="R86" s="26"/>
    </row>
    <row r="87" spans="1:20" ht="24.75" customHeight="1" x14ac:dyDescent="0.2">
      <c r="A87" s="101"/>
      <c r="B87" s="101"/>
      <c r="C87" s="101"/>
      <c r="D87" s="13" t="s">
        <v>87</v>
      </c>
      <c r="E87" s="73">
        <f t="shared" si="21"/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  <c r="Q87" s="73">
        <v>0</v>
      </c>
      <c r="R87" s="26"/>
    </row>
    <row r="88" spans="1:20" ht="28.5" customHeight="1" x14ac:dyDescent="0.2">
      <c r="A88" s="102"/>
      <c r="B88" s="102"/>
      <c r="C88" s="102"/>
      <c r="D88" s="13" t="s">
        <v>88</v>
      </c>
      <c r="E88" s="73">
        <f t="shared" si="21"/>
        <v>26488.205040000001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  <c r="O88" s="73">
        <v>0</v>
      </c>
      <c r="P88" s="73">
        <v>0</v>
      </c>
      <c r="Q88" s="73">
        <f>23883.25-56+2360.95504+300</f>
        <v>26488.205040000001</v>
      </c>
      <c r="R88" s="26"/>
    </row>
    <row r="89" spans="1:20" ht="15.75" customHeight="1" x14ac:dyDescent="0.2">
      <c r="A89" s="99" t="s">
        <v>61</v>
      </c>
      <c r="B89" s="99" t="s">
        <v>62</v>
      </c>
      <c r="C89" s="99" t="s">
        <v>42</v>
      </c>
      <c r="D89" s="25" t="s">
        <v>8</v>
      </c>
      <c r="E89" s="70">
        <f t="shared" ref="E89:Q89" si="22">SUM(E90:E95)</f>
        <v>1210.125</v>
      </c>
      <c r="F89" s="70">
        <f t="shared" si="22"/>
        <v>0</v>
      </c>
      <c r="G89" s="70">
        <f t="shared" si="22"/>
        <v>0</v>
      </c>
      <c r="H89" s="70">
        <f t="shared" si="22"/>
        <v>0</v>
      </c>
      <c r="I89" s="70">
        <f t="shared" si="22"/>
        <v>0</v>
      </c>
      <c r="J89" s="71">
        <f t="shared" si="22"/>
        <v>0</v>
      </c>
      <c r="K89" s="70">
        <f t="shared" si="22"/>
        <v>0</v>
      </c>
      <c r="L89" s="72">
        <f t="shared" si="22"/>
        <v>0</v>
      </c>
      <c r="M89" s="70">
        <f t="shared" si="22"/>
        <v>1210.125</v>
      </c>
      <c r="N89" s="70">
        <f t="shared" si="22"/>
        <v>0</v>
      </c>
      <c r="O89" s="70">
        <f t="shared" si="22"/>
        <v>0</v>
      </c>
      <c r="P89" s="70">
        <f t="shared" si="22"/>
        <v>0</v>
      </c>
      <c r="Q89" s="70">
        <f t="shared" si="22"/>
        <v>0</v>
      </c>
      <c r="R89" s="26"/>
      <c r="S89" s="43"/>
      <c r="T89" s="44"/>
    </row>
    <row r="90" spans="1:20" ht="15.75" customHeight="1" x14ac:dyDescent="0.2">
      <c r="A90" s="99"/>
      <c r="B90" s="99"/>
      <c r="C90" s="99"/>
      <c r="D90" s="11" t="s">
        <v>23</v>
      </c>
      <c r="E90" s="73">
        <f t="shared" ref="E90:E102" si="23">SUM(F90:Q90)</f>
        <v>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  <c r="K90" s="73">
        <v>0</v>
      </c>
      <c r="L90" s="73">
        <v>0</v>
      </c>
      <c r="M90" s="73">
        <v>0</v>
      </c>
      <c r="N90" s="73">
        <v>0</v>
      </c>
      <c r="O90" s="73">
        <v>0</v>
      </c>
      <c r="P90" s="73">
        <v>0</v>
      </c>
      <c r="Q90" s="73">
        <v>0</v>
      </c>
      <c r="R90" s="26"/>
    </row>
    <row r="91" spans="1:20" ht="15.75" customHeight="1" x14ac:dyDescent="0.2">
      <c r="A91" s="99"/>
      <c r="B91" s="99"/>
      <c r="C91" s="99"/>
      <c r="D91" s="11" t="s">
        <v>24</v>
      </c>
      <c r="E91" s="73">
        <f t="shared" si="23"/>
        <v>968.1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968.1</v>
      </c>
      <c r="N91" s="73">
        <v>0</v>
      </c>
      <c r="O91" s="73">
        <v>0</v>
      </c>
      <c r="P91" s="73">
        <v>0</v>
      </c>
      <c r="Q91" s="73">
        <v>0</v>
      </c>
      <c r="R91" s="26"/>
    </row>
    <row r="92" spans="1:20" ht="15.75" customHeight="1" x14ac:dyDescent="0.2">
      <c r="A92" s="99"/>
      <c r="B92" s="99"/>
      <c r="C92" s="99"/>
      <c r="D92" s="12" t="s">
        <v>25</v>
      </c>
      <c r="E92" s="73">
        <f t="shared" si="23"/>
        <v>242.02500000000001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  <c r="K92" s="73">
        <v>0</v>
      </c>
      <c r="L92" s="73">
        <v>0</v>
      </c>
      <c r="M92" s="73">
        <v>242.02500000000001</v>
      </c>
      <c r="N92" s="73">
        <v>0</v>
      </c>
      <c r="O92" s="73">
        <v>0</v>
      </c>
      <c r="P92" s="73">
        <v>0</v>
      </c>
      <c r="Q92" s="73">
        <v>0</v>
      </c>
      <c r="R92" s="26"/>
    </row>
    <row r="93" spans="1:20" ht="42.75" customHeight="1" x14ac:dyDescent="0.2">
      <c r="A93" s="99"/>
      <c r="B93" s="99"/>
      <c r="C93" s="99"/>
      <c r="D93" s="13" t="s">
        <v>26</v>
      </c>
      <c r="E93" s="73">
        <f t="shared" si="23"/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0</v>
      </c>
      <c r="N93" s="73">
        <v>0</v>
      </c>
      <c r="O93" s="73">
        <v>0</v>
      </c>
      <c r="P93" s="73">
        <v>0</v>
      </c>
      <c r="Q93" s="73">
        <v>0</v>
      </c>
      <c r="R93" s="26"/>
    </row>
    <row r="94" spans="1:20" ht="14.25" customHeight="1" x14ac:dyDescent="0.2">
      <c r="A94" s="99"/>
      <c r="B94" s="99"/>
      <c r="C94" s="99"/>
      <c r="D94" s="13" t="s">
        <v>87</v>
      </c>
      <c r="E94" s="73">
        <f t="shared" si="23"/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  <c r="O94" s="73">
        <v>0</v>
      </c>
      <c r="P94" s="73">
        <v>0</v>
      </c>
      <c r="Q94" s="73">
        <v>0</v>
      </c>
      <c r="R94" s="26"/>
    </row>
    <row r="95" spans="1:20" ht="15.75" customHeight="1" x14ac:dyDescent="0.2">
      <c r="A95" s="99"/>
      <c r="B95" s="99"/>
      <c r="C95" s="99"/>
      <c r="D95" s="13" t="s">
        <v>88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0</v>
      </c>
      <c r="O95" s="73">
        <v>0</v>
      </c>
      <c r="P95" s="73">
        <v>0</v>
      </c>
      <c r="Q95" s="73">
        <v>0</v>
      </c>
      <c r="R95" s="26"/>
    </row>
    <row r="96" spans="1:20" ht="18.75" customHeight="1" x14ac:dyDescent="0.2">
      <c r="A96" s="99" t="s">
        <v>63</v>
      </c>
      <c r="B96" s="104" t="s">
        <v>64</v>
      </c>
      <c r="C96" s="105" t="s">
        <v>22</v>
      </c>
      <c r="D96" s="84" t="s">
        <v>8</v>
      </c>
      <c r="E96" s="70">
        <f>SUM(E97:E102)</f>
        <v>0</v>
      </c>
      <c r="F96" s="70">
        <f t="shared" ref="F96:Q96" si="24">F97+F98+F99+F100+F101+F102</f>
        <v>0</v>
      </c>
      <c r="G96" s="70">
        <f t="shared" si="24"/>
        <v>0</v>
      </c>
      <c r="H96" s="70">
        <f t="shared" si="24"/>
        <v>0</v>
      </c>
      <c r="I96" s="70">
        <f t="shared" si="24"/>
        <v>0</v>
      </c>
      <c r="J96" s="70">
        <f t="shared" si="24"/>
        <v>0</v>
      </c>
      <c r="K96" s="70">
        <f t="shared" si="24"/>
        <v>0</v>
      </c>
      <c r="L96" s="70">
        <f t="shared" si="24"/>
        <v>0</v>
      </c>
      <c r="M96" s="70">
        <f t="shared" si="24"/>
        <v>0</v>
      </c>
      <c r="N96" s="70">
        <f t="shared" si="24"/>
        <v>0</v>
      </c>
      <c r="O96" s="70">
        <f t="shared" si="24"/>
        <v>0</v>
      </c>
      <c r="P96" s="70">
        <f t="shared" si="24"/>
        <v>0</v>
      </c>
      <c r="Q96" s="70">
        <f t="shared" si="24"/>
        <v>0</v>
      </c>
      <c r="R96" s="26"/>
    </row>
    <row r="97" spans="1:20" ht="18.75" customHeight="1" x14ac:dyDescent="0.2">
      <c r="A97" s="99"/>
      <c r="B97" s="104"/>
      <c r="C97" s="105"/>
      <c r="D97" s="83" t="s">
        <v>34</v>
      </c>
      <c r="E97" s="73">
        <f t="shared" si="23"/>
        <v>0</v>
      </c>
      <c r="F97" s="73"/>
      <c r="G97" s="73"/>
      <c r="H97" s="73"/>
      <c r="I97" s="73"/>
      <c r="J97" s="74"/>
      <c r="K97" s="73"/>
      <c r="L97" s="75"/>
      <c r="M97" s="73"/>
      <c r="N97" s="73"/>
      <c r="O97" s="73"/>
      <c r="P97" s="73"/>
      <c r="Q97" s="73"/>
      <c r="R97" s="26"/>
    </row>
    <row r="98" spans="1:20" ht="18.75" customHeight="1" x14ac:dyDescent="0.2">
      <c r="A98" s="99"/>
      <c r="B98" s="104"/>
      <c r="C98" s="105"/>
      <c r="D98" s="83" t="s">
        <v>35</v>
      </c>
      <c r="E98" s="73">
        <f t="shared" si="23"/>
        <v>0</v>
      </c>
      <c r="F98" s="77">
        <v>0</v>
      </c>
      <c r="G98" s="77">
        <v>0</v>
      </c>
      <c r="H98" s="77">
        <v>0</v>
      </c>
      <c r="I98" s="77">
        <v>0</v>
      </c>
      <c r="J98" s="78">
        <v>0</v>
      </c>
      <c r="K98" s="77">
        <v>0</v>
      </c>
      <c r="L98" s="77">
        <v>0</v>
      </c>
      <c r="M98" s="77">
        <v>0</v>
      </c>
      <c r="N98" s="78">
        <v>0</v>
      </c>
      <c r="O98" s="77">
        <v>0</v>
      </c>
      <c r="P98" s="77">
        <v>0</v>
      </c>
      <c r="Q98" s="77">
        <v>0</v>
      </c>
      <c r="R98" s="26"/>
    </row>
    <row r="99" spans="1:20" ht="18.75" customHeight="1" x14ac:dyDescent="0.2">
      <c r="A99" s="99"/>
      <c r="B99" s="104"/>
      <c r="C99" s="105"/>
      <c r="D99" s="83" t="s">
        <v>25</v>
      </c>
      <c r="E99" s="73">
        <f t="shared" si="23"/>
        <v>0</v>
      </c>
      <c r="F99" s="77">
        <v>0</v>
      </c>
      <c r="G99" s="77">
        <v>0</v>
      </c>
      <c r="H99" s="77">
        <v>0</v>
      </c>
      <c r="I99" s="77">
        <v>0</v>
      </c>
      <c r="J99" s="79">
        <v>0</v>
      </c>
      <c r="K99" s="77">
        <v>0</v>
      </c>
      <c r="L99" s="77">
        <v>0</v>
      </c>
      <c r="M99" s="77">
        <v>0</v>
      </c>
      <c r="N99" s="79">
        <v>0</v>
      </c>
      <c r="O99" s="77">
        <v>0</v>
      </c>
      <c r="P99" s="77">
        <v>0</v>
      </c>
      <c r="Q99" s="77">
        <v>0</v>
      </c>
      <c r="R99" s="26"/>
    </row>
    <row r="100" spans="1:20" ht="48" customHeight="1" x14ac:dyDescent="0.2">
      <c r="A100" s="99"/>
      <c r="B100" s="104"/>
      <c r="C100" s="105"/>
      <c r="D100" s="83" t="s">
        <v>86</v>
      </c>
      <c r="E100" s="73">
        <f t="shared" si="23"/>
        <v>0</v>
      </c>
      <c r="F100" s="77">
        <v>0</v>
      </c>
      <c r="G100" s="77">
        <v>0</v>
      </c>
      <c r="H100" s="77">
        <v>0</v>
      </c>
      <c r="I100" s="77">
        <v>0</v>
      </c>
      <c r="J100" s="74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26"/>
    </row>
    <row r="101" spans="1:20" ht="18.75" customHeight="1" x14ac:dyDescent="0.2">
      <c r="A101" s="99"/>
      <c r="B101" s="104"/>
      <c r="C101" s="105"/>
      <c r="D101" s="83" t="s">
        <v>87</v>
      </c>
      <c r="E101" s="73">
        <f t="shared" si="23"/>
        <v>0</v>
      </c>
      <c r="F101" s="77">
        <v>0</v>
      </c>
      <c r="G101" s="77">
        <v>0</v>
      </c>
      <c r="H101" s="77">
        <v>0</v>
      </c>
      <c r="I101" s="77">
        <v>0</v>
      </c>
      <c r="J101" s="74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77">
        <v>0</v>
      </c>
      <c r="Q101" s="77">
        <v>0</v>
      </c>
      <c r="R101" s="26"/>
    </row>
    <row r="102" spans="1:20" ht="18.75" customHeight="1" x14ac:dyDescent="0.2">
      <c r="A102" s="99"/>
      <c r="B102" s="104"/>
      <c r="C102" s="105"/>
      <c r="D102" s="83" t="s">
        <v>88</v>
      </c>
      <c r="E102" s="73">
        <f t="shared" si="23"/>
        <v>0</v>
      </c>
      <c r="F102" s="77">
        <v>0</v>
      </c>
      <c r="G102" s="77">
        <v>0</v>
      </c>
      <c r="H102" s="77">
        <v>0</v>
      </c>
      <c r="I102" s="77">
        <v>0</v>
      </c>
      <c r="J102" s="74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26"/>
    </row>
    <row r="103" spans="1:20" ht="15.75" customHeight="1" x14ac:dyDescent="0.2">
      <c r="A103" s="99" t="s">
        <v>66</v>
      </c>
      <c r="B103" s="99" t="s">
        <v>67</v>
      </c>
      <c r="C103" s="99" t="s">
        <v>68</v>
      </c>
      <c r="D103" s="25" t="s">
        <v>8</v>
      </c>
      <c r="E103" s="70">
        <f>SUM(E104:E109)</f>
        <v>67384.393719999993</v>
      </c>
      <c r="F103" s="70">
        <f>F110+F117+F124</f>
        <v>1801.8974999999998</v>
      </c>
      <c r="G103" s="70">
        <f t="shared" ref="G103:Q106" si="25">G110+G117+G124</f>
        <v>4295.1423299999997</v>
      </c>
      <c r="H103" s="70">
        <f t="shared" si="25"/>
        <v>4406.0891000000001</v>
      </c>
      <c r="I103" s="70">
        <f t="shared" si="25"/>
        <v>4223.6796100000001</v>
      </c>
      <c r="J103" s="70">
        <f t="shared" si="25"/>
        <v>4373.5927999999994</v>
      </c>
      <c r="K103" s="70">
        <f t="shared" si="25"/>
        <v>4292.2061800000001</v>
      </c>
      <c r="L103" s="70">
        <f t="shared" si="25"/>
        <v>3964.08167</v>
      </c>
      <c r="M103" s="70">
        <f t="shared" si="25"/>
        <v>3834.71333</v>
      </c>
      <c r="N103" s="70">
        <f t="shared" si="25"/>
        <v>4099.7730899999997</v>
      </c>
      <c r="O103" s="70">
        <f t="shared" si="25"/>
        <v>3304.0131799999999</v>
      </c>
      <c r="P103" s="70">
        <f>P110+P117+P124</f>
        <v>2896.8541400000004</v>
      </c>
      <c r="Q103" s="70">
        <f>Q110+Q117+Q124</f>
        <v>25892.35079</v>
      </c>
      <c r="R103" s="26"/>
    </row>
    <row r="104" spans="1:20" ht="15.75" customHeight="1" x14ac:dyDescent="0.2">
      <c r="A104" s="99"/>
      <c r="B104" s="99"/>
      <c r="C104" s="99"/>
      <c r="D104" s="11" t="s">
        <v>23</v>
      </c>
      <c r="E104" s="73">
        <f>SUM(F104:Q104)</f>
        <v>0</v>
      </c>
      <c r="F104" s="73">
        <f>F111+F118+F125</f>
        <v>0</v>
      </c>
      <c r="G104" s="73">
        <f t="shared" si="25"/>
        <v>0</v>
      </c>
      <c r="H104" s="73">
        <f t="shared" si="25"/>
        <v>0</v>
      </c>
      <c r="I104" s="73">
        <f t="shared" si="25"/>
        <v>0</v>
      </c>
      <c r="J104" s="73">
        <f t="shared" si="25"/>
        <v>0</v>
      </c>
      <c r="K104" s="73">
        <f t="shared" si="25"/>
        <v>0</v>
      </c>
      <c r="L104" s="73">
        <f t="shared" si="25"/>
        <v>0</v>
      </c>
      <c r="M104" s="73">
        <f t="shared" si="25"/>
        <v>0</v>
      </c>
      <c r="N104" s="73">
        <f t="shared" si="25"/>
        <v>0</v>
      </c>
      <c r="O104" s="73">
        <f t="shared" si="25"/>
        <v>0</v>
      </c>
      <c r="P104" s="73">
        <f t="shared" si="25"/>
        <v>0</v>
      </c>
      <c r="Q104" s="73">
        <f t="shared" si="25"/>
        <v>0</v>
      </c>
      <c r="R104" s="26"/>
    </row>
    <row r="105" spans="1:20" ht="15.75" customHeight="1" x14ac:dyDescent="0.2">
      <c r="A105" s="99"/>
      <c r="B105" s="99"/>
      <c r="C105" s="99"/>
      <c r="D105" s="11" t="s">
        <v>24</v>
      </c>
      <c r="E105" s="73">
        <f>SUM(F105:Q105)</f>
        <v>0</v>
      </c>
      <c r="F105" s="73">
        <f>F112+F119+F126</f>
        <v>0</v>
      </c>
      <c r="G105" s="73">
        <f t="shared" si="25"/>
        <v>0</v>
      </c>
      <c r="H105" s="73">
        <f t="shared" si="25"/>
        <v>0</v>
      </c>
      <c r="I105" s="73">
        <f t="shared" si="25"/>
        <v>0</v>
      </c>
      <c r="J105" s="73">
        <f t="shared" si="25"/>
        <v>0</v>
      </c>
      <c r="K105" s="73">
        <f t="shared" si="25"/>
        <v>0</v>
      </c>
      <c r="L105" s="73">
        <f t="shared" si="25"/>
        <v>0</v>
      </c>
      <c r="M105" s="73">
        <f t="shared" si="25"/>
        <v>0</v>
      </c>
      <c r="N105" s="73">
        <f t="shared" si="25"/>
        <v>0</v>
      </c>
      <c r="O105" s="73">
        <f t="shared" si="25"/>
        <v>0</v>
      </c>
      <c r="P105" s="73">
        <f t="shared" si="25"/>
        <v>0</v>
      </c>
      <c r="Q105" s="73">
        <f t="shared" si="25"/>
        <v>0</v>
      </c>
      <c r="R105" s="26"/>
      <c r="S105" s="22"/>
    </row>
    <row r="106" spans="1:20" ht="15.75" customHeight="1" x14ac:dyDescent="0.2">
      <c r="A106" s="99"/>
      <c r="B106" s="99"/>
      <c r="C106" s="99"/>
      <c r="D106" s="12" t="s">
        <v>25</v>
      </c>
      <c r="E106" s="73">
        <f>SUM(F106:Q106)</f>
        <v>46355.02764</v>
      </c>
      <c r="F106" s="73">
        <f>F113+F120+F127</f>
        <v>1801.8974999999998</v>
      </c>
      <c r="G106" s="73">
        <f t="shared" si="25"/>
        <v>4295.1423299999997</v>
      </c>
      <c r="H106" s="73">
        <f t="shared" si="25"/>
        <v>4406.0891000000001</v>
      </c>
      <c r="I106" s="73">
        <f t="shared" si="25"/>
        <v>4223.6796100000001</v>
      </c>
      <c r="J106" s="73">
        <f t="shared" si="25"/>
        <v>4373.5927999999994</v>
      </c>
      <c r="K106" s="73">
        <f t="shared" si="25"/>
        <v>4292.2061800000001</v>
      </c>
      <c r="L106" s="73">
        <f t="shared" si="25"/>
        <v>3964.08167</v>
      </c>
      <c r="M106" s="73">
        <f t="shared" si="25"/>
        <v>3834.71333</v>
      </c>
      <c r="N106" s="73">
        <f t="shared" si="25"/>
        <v>4099.7730899999997</v>
      </c>
      <c r="O106" s="73">
        <f t="shared" si="25"/>
        <v>3304.0131799999999</v>
      </c>
      <c r="P106" s="73">
        <f t="shared" si="25"/>
        <v>2896.8541400000004</v>
      </c>
      <c r="Q106" s="73">
        <f t="shared" si="25"/>
        <v>4862.9847099999997</v>
      </c>
      <c r="R106" s="37"/>
      <c r="S106" s="50"/>
      <c r="T106" s="51"/>
    </row>
    <row r="107" spans="1:20" ht="42.75" customHeight="1" x14ac:dyDescent="0.2">
      <c r="A107" s="99"/>
      <c r="B107" s="99"/>
      <c r="C107" s="99"/>
      <c r="D107" s="13" t="s">
        <v>26</v>
      </c>
      <c r="E107" s="73">
        <f t="shared" ref="E107:E108" si="26">SUM(F107:Q107)</f>
        <v>0</v>
      </c>
      <c r="F107" s="73">
        <v>0</v>
      </c>
      <c r="G107" s="73">
        <v>0</v>
      </c>
      <c r="H107" s="73">
        <v>0</v>
      </c>
      <c r="I107" s="73">
        <v>0</v>
      </c>
      <c r="J107" s="73">
        <v>0</v>
      </c>
      <c r="K107" s="73">
        <v>0</v>
      </c>
      <c r="L107" s="73">
        <v>0</v>
      </c>
      <c r="M107" s="73">
        <v>0</v>
      </c>
      <c r="N107" s="73">
        <v>0</v>
      </c>
      <c r="O107" s="73">
        <v>0</v>
      </c>
      <c r="P107" s="73">
        <v>0</v>
      </c>
      <c r="Q107" s="73">
        <v>0</v>
      </c>
      <c r="R107" s="26"/>
      <c r="S107" s="22"/>
    </row>
    <row r="108" spans="1:20" ht="15.75" customHeight="1" x14ac:dyDescent="0.2">
      <c r="A108" s="99"/>
      <c r="B108" s="99"/>
      <c r="C108" s="99"/>
      <c r="D108" s="13" t="s">
        <v>87</v>
      </c>
      <c r="E108" s="73">
        <f t="shared" si="26"/>
        <v>0</v>
      </c>
      <c r="F108" s="73">
        <v>0</v>
      </c>
      <c r="G108" s="73">
        <v>0</v>
      </c>
      <c r="H108" s="73">
        <v>0</v>
      </c>
      <c r="I108" s="73">
        <v>0</v>
      </c>
      <c r="J108" s="73">
        <v>0</v>
      </c>
      <c r="K108" s="73">
        <v>0</v>
      </c>
      <c r="L108" s="73">
        <v>0</v>
      </c>
      <c r="M108" s="73">
        <v>0</v>
      </c>
      <c r="N108" s="73">
        <v>0</v>
      </c>
      <c r="O108" s="73">
        <v>0</v>
      </c>
      <c r="P108" s="73">
        <v>0</v>
      </c>
      <c r="Q108" s="73">
        <v>0</v>
      </c>
      <c r="R108" s="26"/>
      <c r="S108" s="22"/>
    </row>
    <row r="109" spans="1:20" ht="18" customHeight="1" x14ac:dyDescent="0.2">
      <c r="A109" s="99"/>
      <c r="B109" s="99"/>
      <c r="C109" s="99"/>
      <c r="D109" s="13" t="s">
        <v>88</v>
      </c>
      <c r="E109" s="73">
        <f>SUM(F109:Q109)</f>
        <v>21029.36608</v>
      </c>
      <c r="F109" s="73">
        <f>F116+F123+F130</f>
        <v>0</v>
      </c>
      <c r="G109" s="73">
        <f t="shared" ref="G109:P109" si="27">G116+G123+G130</f>
        <v>0</v>
      </c>
      <c r="H109" s="73">
        <f t="shared" si="27"/>
        <v>0</v>
      </c>
      <c r="I109" s="73">
        <f t="shared" si="27"/>
        <v>0</v>
      </c>
      <c r="J109" s="73">
        <f t="shared" si="27"/>
        <v>0</v>
      </c>
      <c r="K109" s="73">
        <f t="shared" si="27"/>
        <v>0</v>
      </c>
      <c r="L109" s="73">
        <f t="shared" si="27"/>
        <v>0</v>
      </c>
      <c r="M109" s="73">
        <f t="shared" si="27"/>
        <v>0</v>
      </c>
      <c r="N109" s="73">
        <f t="shared" si="27"/>
        <v>0</v>
      </c>
      <c r="O109" s="73">
        <f t="shared" si="27"/>
        <v>0</v>
      </c>
      <c r="P109" s="73">
        <f t="shared" si="27"/>
        <v>0</v>
      </c>
      <c r="Q109" s="73">
        <f>Q116+Q123+Q130</f>
        <v>21029.36608</v>
      </c>
      <c r="R109" s="26"/>
      <c r="S109" s="22"/>
    </row>
    <row r="110" spans="1:20" s="41" customFormat="1" ht="18" customHeight="1" x14ac:dyDescent="0.2">
      <c r="A110" s="100" t="s">
        <v>69</v>
      </c>
      <c r="B110" s="100" t="s">
        <v>76</v>
      </c>
      <c r="C110" s="99" t="s">
        <v>77</v>
      </c>
      <c r="D110" s="25" t="s">
        <v>8</v>
      </c>
      <c r="E110" s="70">
        <f>SUM(E111:E116)</f>
        <v>15446.578969999999</v>
      </c>
      <c r="F110" s="70">
        <f>F111+F112+F113+F116</f>
        <v>354.16699999999997</v>
      </c>
      <c r="G110" s="70">
        <f t="shared" ref="G110:Q110" si="28">G111+G112+G113+G116</f>
        <v>817.93849999999998</v>
      </c>
      <c r="H110" s="70">
        <f t="shared" si="28"/>
        <v>700.83611000000008</v>
      </c>
      <c r="I110" s="70">
        <f t="shared" si="28"/>
        <v>740.45480999999995</v>
      </c>
      <c r="J110" s="70">
        <f t="shared" si="28"/>
        <v>791.19152999999994</v>
      </c>
      <c r="K110" s="70">
        <f t="shared" si="28"/>
        <v>673.54110000000003</v>
      </c>
      <c r="L110" s="70">
        <f t="shared" si="28"/>
        <v>647.20146999999997</v>
      </c>
      <c r="M110" s="70">
        <f t="shared" si="28"/>
        <v>759.95501000000002</v>
      </c>
      <c r="N110" s="70">
        <f t="shared" si="28"/>
        <v>712.25495999999998</v>
      </c>
      <c r="O110" s="70">
        <f t="shared" si="28"/>
        <v>801.89011000000005</v>
      </c>
      <c r="P110" s="70">
        <f t="shared" si="28"/>
        <v>746.48820000000001</v>
      </c>
      <c r="Q110" s="70">
        <f t="shared" si="28"/>
        <v>7700.6601700000001</v>
      </c>
      <c r="R110" s="26"/>
    </row>
    <row r="111" spans="1:20" ht="18" customHeight="1" x14ac:dyDescent="0.2">
      <c r="A111" s="101"/>
      <c r="B111" s="101"/>
      <c r="C111" s="99"/>
      <c r="D111" s="11" t="s">
        <v>23</v>
      </c>
      <c r="E111" s="73"/>
      <c r="F111" s="73"/>
      <c r="G111" s="73"/>
      <c r="H111" s="73"/>
      <c r="I111" s="73"/>
      <c r="J111" s="74"/>
      <c r="K111" s="73"/>
      <c r="L111" s="75"/>
      <c r="M111" s="73"/>
      <c r="N111" s="73"/>
      <c r="O111" s="73"/>
      <c r="P111" s="73"/>
      <c r="Q111" s="73"/>
      <c r="R111" s="26"/>
      <c r="S111" s="22"/>
    </row>
    <row r="112" spans="1:20" ht="18" customHeight="1" x14ac:dyDescent="0.2">
      <c r="A112" s="101"/>
      <c r="B112" s="101"/>
      <c r="C112" s="99"/>
      <c r="D112" s="11" t="s">
        <v>24</v>
      </c>
      <c r="E112" s="73"/>
      <c r="F112" s="73"/>
      <c r="G112" s="73"/>
      <c r="H112" s="73"/>
      <c r="I112" s="73"/>
      <c r="J112" s="74"/>
      <c r="K112" s="73"/>
      <c r="L112" s="75"/>
      <c r="M112" s="73"/>
      <c r="N112" s="73"/>
      <c r="O112" s="73"/>
      <c r="P112" s="73"/>
      <c r="Q112" s="73"/>
      <c r="R112" s="26"/>
      <c r="S112" s="22"/>
    </row>
    <row r="113" spans="1:19" ht="18" customHeight="1" x14ac:dyDescent="0.2">
      <c r="A113" s="101"/>
      <c r="B113" s="101"/>
      <c r="C113" s="99"/>
      <c r="D113" s="12" t="s">
        <v>25</v>
      </c>
      <c r="E113" s="73">
        <f t="shared" ref="E113:E116" si="29">SUM(F113:Q113)</f>
        <v>8499.6773999999987</v>
      </c>
      <c r="F113" s="73">
        <v>354.16699999999997</v>
      </c>
      <c r="G113" s="73">
        <v>817.93849999999998</v>
      </c>
      <c r="H113" s="73">
        <f>789.23611-88.4</f>
        <v>700.83611000000008</v>
      </c>
      <c r="I113" s="73">
        <v>740.45480999999995</v>
      </c>
      <c r="J113" s="74">
        <v>791.19152999999994</v>
      </c>
      <c r="K113" s="73">
        <v>673.54110000000003</v>
      </c>
      <c r="L113" s="75">
        <v>647.20146999999997</v>
      </c>
      <c r="M113" s="73">
        <v>759.95501000000002</v>
      </c>
      <c r="N113" s="73">
        <v>712.25495999999998</v>
      </c>
      <c r="O113" s="73">
        <v>801.89011000000005</v>
      </c>
      <c r="P113" s="73">
        <v>746.48820000000001</v>
      </c>
      <c r="Q113" s="73">
        <v>753.7586</v>
      </c>
      <c r="R113" s="26"/>
      <c r="S113" s="22"/>
    </row>
    <row r="114" spans="1:19" ht="45.75" customHeight="1" x14ac:dyDescent="0.2">
      <c r="A114" s="101"/>
      <c r="B114" s="101"/>
      <c r="C114" s="99"/>
      <c r="D114" s="13" t="s">
        <v>26</v>
      </c>
      <c r="E114" s="73">
        <f t="shared" si="29"/>
        <v>0</v>
      </c>
      <c r="F114" s="73"/>
      <c r="G114" s="73"/>
      <c r="H114" s="73"/>
      <c r="I114" s="73"/>
      <c r="J114" s="74"/>
      <c r="K114" s="73"/>
      <c r="L114" s="75"/>
      <c r="M114" s="73"/>
      <c r="N114" s="73"/>
      <c r="O114" s="73"/>
      <c r="P114" s="73"/>
      <c r="Q114" s="73"/>
      <c r="R114" s="26"/>
      <c r="S114" s="22"/>
    </row>
    <row r="115" spans="1:19" ht="18" customHeight="1" x14ac:dyDescent="0.2">
      <c r="A115" s="101"/>
      <c r="B115" s="101"/>
      <c r="C115" s="99"/>
      <c r="D115" s="13" t="s">
        <v>87</v>
      </c>
      <c r="E115" s="73">
        <f t="shared" si="29"/>
        <v>0</v>
      </c>
      <c r="F115" s="73"/>
      <c r="G115" s="73"/>
      <c r="H115" s="73"/>
      <c r="I115" s="73"/>
      <c r="J115" s="74"/>
      <c r="K115" s="73"/>
      <c r="L115" s="75"/>
      <c r="M115" s="73"/>
      <c r="N115" s="73"/>
      <c r="O115" s="73"/>
      <c r="P115" s="73"/>
      <c r="Q115" s="73"/>
      <c r="R115" s="26"/>
      <c r="S115" s="22"/>
    </row>
    <row r="116" spans="1:19" ht="18" customHeight="1" x14ac:dyDescent="0.2">
      <c r="A116" s="101"/>
      <c r="B116" s="101"/>
      <c r="C116" s="99"/>
      <c r="D116" s="13" t="s">
        <v>88</v>
      </c>
      <c r="E116" s="73">
        <f t="shared" si="29"/>
        <v>6946.90157</v>
      </c>
      <c r="F116" s="73"/>
      <c r="G116" s="73"/>
      <c r="H116" s="73"/>
      <c r="I116" s="73"/>
      <c r="J116" s="74"/>
      <c r="K116" s="73"/>
      <c r="L116" s="75"/>
      <c r="M116" s="73"/>
      <c r="N116" s="73"/>
      <c r="O116" s="73"/>
      <c r="P116" s="73"/>
      <c r="Q116" s="73">
        <f>2736.7056+4210.19597</f>
        <v>6946.90157</v>
      </c>
      <c r="R116" s="26"/>
      <c r="S116" s="22"/>
    </row>
    <row r="117" spans="1:19" s="41" customFormat="1" ht="18" customHeight="1" x14ac:dyDescent="0.2">
      <c r="A117" s="101"/>
      <c r="B117" s="101"/>
      <c r="C117" s="99" t="s">
        <v>68</v>
      </c>
      <c r="D117" s="25" t="s">
        <v>8</v>
      </c>
      <c r="E117" s="70">
        <f>SUM(E118:E123)</f>
        <v>47914.098129999998</v>
      </c>
      <c r="F117" s="70">
        <f>F118+F119+F120+F123</f>
        <v>1447.7304999999999</v>
      </c>
      <c r="G117" s="70">
        <f t="shared" ref="G117:Q117" si="30">G118+G119+G120+G123</f>
        <v>3477.2038299999999</v>
      </c>
      <c r="H117" s="70">
        <f t="shared" si="30"/>
        <v>3705.25299</v>
      </c>
      <c r="I117" s="70">
        <f t="shared" si="30"/>
        <v>3483.2248</v>
      </c>
      <c r="J117" s="70">
        <f t="shared" si="30"/>
        <v>3582.4012699999998</v>
      </c>
      <c r="K117" s="70">
        <f t="shared" si="30"/>
        <v>3618.6650800000002</v>
      </c>
      <c r="L117" s="70">
        <f t="shared" si="30"/>
        <v>3316.8802000000001</v>
      </c>
      <c r="M117" s="70">
        <f t="shared" si="30"/>
        <v>3074.7583199999999</v>
      </c>
      <c r="N117" s="70">
        <f t="shared" si="30"/>
        <v>3387.5181299999999</v>
      </c>
      <c r="O117" s="70">
        <f t="shared" si="30"/>
        <v>2502.1230700000001</v>
      </c>
      <c r="P117" s="70">
        <f t="shared" si="30"/>
        <v>2150.3659400000001</v>
      </c>
      <c r="Q117" s="70">
        <f t="shared" si="30"/>
        <v>14167.974</v>
      </c>
      <c r="R117" s="26"/>
    </row>
    <row r="118" spans="1:19" ht="18" customHeight="1" x14ac:dyDescent="0.2">
      <c r="A118" s="101"/>
      <c r="B118" s="101"/>
      <c r="C118" s="99"/>
      <c r="D118" s="11" t="s">
        <v>23</v>
      </c>
      <c r="E118" s="73">
        <f t="shared" ref="E118:E123" si="31">SUM(F118:Q118)</f>
        <v>0</v>
      </c>
      <c r="F118" s="73"/>
      <c r="G118" s="73"/>
      <c r="H118" s="73"/>
      <c r="I118" s="73"/>
      <c r="J118" s="74"/>
      <c r="K118" s="73"/>
      <c r="L118" s="75"/>
      <c r="M118" s="73"/>
      <c r="N118" s="73"/>
      <c r="O118" s="73"/>
      <c r="P118" s="73"/>
      <c r="Q118" s="73"/>
      <c r="R118" s="26"/>
      <c r="S118" s="22"/>
    </row>
    <row r="119" spans="1:19" ht="18" customHeight="1" x14ac:dyDescent="0.2">
      <c r="A119" s="101"/>
      <c r="B119" s="101"/>
      <c r="C119" s="99"/>
      <c r="D119" s="11" t="s">
        <v>24</v>
      </c>
      <c r="E119" s="73">
        <f t="shared" si="31"/>
        <v>0</v>
      </c>
      <c r="F119" s="73"/>
      <c r="G119" s="73"/>
      <c r="H119" s="73"/>
      <c r="I119" s="73"/>
      <c r="J119" s="74"/>
      <c r="K119" s="73"/>
      <c r="L119" s="75"/>
      <c r="M119" s="73"/>
      <c r="N119" s="73"/>
      <c r="O119" s="73"/>
      <c r="P119" s="73"/>
      <c r="Q119" s="73"/>
      <c r="R119" s="26"/>
      <c r="S119" s="22"/>
    </row>
    <row r="120" spans="1:19" ht="18" customHeight="1" x14ac:dyDescent="0.2">
      <c r="A120" s="101"/>
      <c r="B120" s="101"/>
      <c r="C120" s="99"/>
      <c r="D120" s="12" t="s">
        <v>25</v>
      </c>
      <c r="E120" s="73">
        <f t="shared" si="31"/>
        <v>37855.35024</v>
      </c>
      <c r="F120" s="73">
        <v>1447.7304999999999</v>
      </c>
      <c r="G120" s="73">
        <v>3477.2038299999999</v>
      </c>
      <c r="H120" s="73">
        <v>3705.25299</v>
      </c>
      <c r="I120" s="73">
        <f>3513.2248-30</f>
        <v>3483.2248</v>
      </c>
      <c r="J120" s="74">
        <f>3632.40127-50</f>
        <v>3582.4012699999998</v>
      </c>
      <c r="K120" s="73">
        <f>3668.66508-50</f>
        <v>3618.6650800000002</v>
      </c>
      <c r="L120" s="75">
        <f>3325.97682-9.09662</f>
        <v>3316.8802000000001</v>
      </c>
      <c r="M120" s="73">
        <v>3074.7583199999999</v>
      </c>
      <c r="N120" s="73">
        <v>3387.5181299999999</v>
      </c>
      <c r="O120" s="73">
        <f>2757.87107-99-156.748</f>
        <v>2502.1230700000001</v>
      </c>
      <c r="P120" s="73">
        <f>2247.06594-96.7</f>
        <v>2150.3659400000001</v>
      </c>
      <c r="Q120" s="73">
        <f>4432.79811-323.572</f>
        <v>4109.2261099999996</v>
      </c>
      <c r="R120" s="26"/>
      <c r="S120" s="22"/>
    </row>
    <row r="121" spans="1:19" ht="40.5" customHeight="1" x14ac:dyDescent="0.2">
      <c r="A121" s="101"/>
      <c r="B121" s="101"/>
      <c r="C121" s="99"/>
      <c r="D121" s="13" t="s">
        <v>26</v>
      </c>
      <c r="E121" s="73">
        <f t="shared" si="31"/>
        <v>0</v>
      </c>
      <c r="F121" s="73"/>
      <c r="G121" s="73"/>
      <c r="H121" s="73"/>
      <c r="I121" s="73"/>
      <c r="J121" s="74"/>
      <c r="K121" s="73"/>
      <c r="L121" s="75"/>
      <c r="M121" s="73"/>
      <c r="N121" s="73"/>
      <c r="O121" s="73"/>
      <c r="P121" s="73"/>
      <c r="Q121" s="73"/>
      <c r="R121" s="26"/>
      <c r="S121" s="22"/>
    </row>
    <row r="122" spans="1:19" ht="18" customHeight="1" x14ac:dyDescent="0.2">
      <c r="A122" s="101"/>
      <c r="B122" s="101"/>
      <c r="C122" s="99"/>
      <c r="D122" s="13" t="s">
        <v>87</v>
      </c>
      <c r="E122" s="73">
        <f t="shared" si="31"/>
        <v>0</v>
      </c>
      <c r="F122" s="73"/>
      <c r="G122" s="73"/>
      <c r="H122" s="73"/>
      <c r="I122" s="73"/>
      <c r="J122" s="74"/>
      <c r="K122" s="73"/>
      <c r="L122" s="75"/>
      <c r="M122" s="73"/>
      <c r="N122" s="73"/>
      <c r="O122" s="73"/>
      <c r="P122" s="73"/>
      <c r="Q122" s="73"/>
      <c r="R122" s="26"/>
      <c r="S122" s="22"/>
    </row>
    <row r="123" spans="1:19" ht="18" customHeight="1" x14ac:dyDescent="0.2">
      <c r="A123" s="102"/>
      <c r="B123" s="102"/>
      <c r="C123" s="99"/>
      <c r="D123" s="13" t="s">
        <v>88</v>
      </c>
      <c r="E123" s="73">
        <f t="shared" si="31"/>
        <v>10058.747890000001</v>
      </c>
      <c r="F123" s="73"/>
      <c r="G123" s="73"/>
      <c r="H123" s="73"/>
      <c r="I123" s="73"/>
      <c r="J123" s="74"/>
      <c r="K123" s="73"/>
      <c r="L123" s="75"/>
      <c r="M123" s="73"/>
      <c r="N123" s="73"/>
      <c r="O123" s="73"/>
      <c r="P123" s="73"/>
      <c r="Q123" s="73">
        <f>7978.759+2079.98889</f>
        <v>10058.747890000001</v>
      </c>
      <c r="R123" s="26"/>
      <c r="S123" s="22"/>
    </row>
    <row r="124" spans="1:19" ht="18" customHeight="1" x14ac:dyDescent="0.2">
      <c r="A124" s="100" t="s">
        <v>70</v>
      </c>
      <c r="B124" s="100" t="s">
        <v>78</v>
      </c>
      <c r="C124" s="100" t="s">
        <v>68</v>
      </c>
      <c r="D124" s="25" t="s">
        <v>8</v>
      </c>
      <c r="E124" s="73">
        <f>SUM(E125:E130)</f>
        <v>4023.7166200000001</v>
      </c>
      <c r="F124" s="73">
        <f t="shared" ref="F124:Q124" si="32">F125+F126+F127+F130</f>
        <v>0</v>
      </c>
      <c r="G124" s="73">
        <f t="shared" si="32"/>
        <v>0</v>
      </c>
      <c r="H124" s="73">
        <f t="shared" si="32"/>
        <v>0</v>
      </c>
      <c r="I124" s="73">
        <f t="shared" si="32"/>
        <v>-3.5527136788005009E-14</v>
      </c>
      <c r="J124" s="73">
        <f t="shared" si="32"/>
        <v>0</v>
      </c>
      <c r="K124" s="73">
        <f t="shared" si="32"/>
        <v>0</v>
      </c>
      <c r="L124" s="73">
        <f t="shared" si="32"/>
        <v>0</v>
      </c>
      <c r="M124" s="73">
        <f t="shared" si="32"/>
        <v>0</v>
      </c>
      <c r="N124" s="73">
        <f t="shared" si="32"/>
        <v>0</v>
      </c>
      <c r="O124" s="73">
        <f t="shared" si="32"/>
        <v>-5.6843418860808015E-14</v>
      </c>
      <c r="P124" s="73">
        <f t="shared" si="32"/>
        <v>-3.3750779948604759E-14</v>
      </c>
      <c r="Q124" s="73">
        <f t="shared" si="32"/>
        <v>4023.7166200000001</v>
      </c>
      <c r="R124" s="26"/>
      <c r="S124" s="22"/>
    </row>
    <row r="125" spans="1:19" ht="18" customHeight="1" x14ac:dyDescent="0.2">
      <c r="A125" s="101"/>
      <c r="B125" s="101"/>
      <c r="C125" s="101"/>
      <c r="D125" s="11" t="s">
        <v>23</v>
      </c>
      <c r="E125" s="73">
        <f t="shared" ref="E125:E129" si="33">SUM(F125:Q125)</f>
        <v>0</v>
      </c>
      <c r="F125" s="73"/>
      <c r="G125" s="73"/>
      <c r="H125" s="73"/>
      <c r="I125" s="73"/>
      <c r="J125" s="74"/>
      <c r="K125" s="73"/>
      <c r="L125" s="75"/>
      <c r="M125" s="73"/>
      <c r="N125" s="73"/>
      <c r="O125" s="73"/>
      <c r="P125" s="73"/>
      <c r="Q125" s="73"/>
      <c r="R125" s="26"/>
      <c r="S125" s="22"/>
    </row>
    <row r="126" spans="1:19" ht="18" customHeight="1" x14ac:dyDescent="0.2">
      <c r="A126" s="101"/>
      <c r="B126" s="101"/>
      <c r="C126" s="101"/>
      <c r="D126" s="11" t="s">
        <v>24</v>
      </c>
      <c r="E126" s="73">
        <f t="shared" si="33"/>
        <v>0</v>
      </c>
      <c r="F126" s="73"/>
      <c r="G126" s="73"/>
      <c r="H126" s="73"/>
      <c r="I126" s="73"/>
      <c r="J126" s="74"/>
      <c r="K126" s="73"/>
      <c r="L126" s="75"/>
      <c r="M126" s="73"/>
      <c r="N126" s="73"/>
      <c r="O126" s="73"/>
      <c r="P126" s="73"/>
      <c r="Q126" s="73"/>
      <c r="R126" s="26"/>
      <c r="S126" s="22"/>
    </row>
    <row r="127" spans="1:19" ht="18" customHeight="1" x14ac:dyDescent="0.2">
      <c r="A127" s="101"/>
      <c r="B127" s="101"/>
      <c r="C127" s="101"/>
      <c r="D127" s="12" t="s">
        <v>25</v>
      </c>
      <c r="E127" s="73">
        <f t="shared" si="33"/>
        <v>-1.1191048088221578E-13</v>
      </c>
      <c r="F127" s="73">
        <f>272.3-9-55.88-207.42</f>
        <v>0</v>
      </c>
      <c r="G127" s="73">
        <f>273.6-42.3-174.91662-8.4-13.7-34.28338</f>
        <v>0</v>
      </c>
      <c r="H127" s="73">
        <f>385.18338-65.4-311.08338-8.7</f>
        <v>0</v>
      </c>
      <c r="I127" s="85">
        <f>491-149.6-324.3-17.1</f>
        <v>-3.5527136788005009E-14</v>
      </c>
      <c r="J127" s="74">
        <f>477.8-145.3-315.4-17.1</f>
        <v>0</v>
      </c>
      <c r="K127" s="73">
        <v>0</v>
      </c>
      <c r="L127" s="75">
        <v>0</v>
      </c>
      <c r="M127" s="73">
        <v>0</v>
      </c>
      <c r="N127" s="73">
        <f>266.2-67.2-191-8</f>
        <v>0</v>
      </c>
      <c r="O127" s="73">
        <f>692.4-331.6-341.3-19.5</f>
        <v>-5.6843418860808015E-14</v>
      </c>
      <c r="P127" s="73">
        <f>375.4-51-317.8-6.6</f>
        <v>-3.3750779948604759E-14</v>
      </c>
      <c r="Q127" s="73">
        <f>179.3-47.6-124.2-7.5</f>
        <v>1.4210854715202004E-14</v>
      </c>
      <c r="R127" s="26"/>
      <c r="S127" s="22"/>
    </row>
    <row r="128" spans="1:19" ht="45" customHeight="1" x14ac:dyDescent="0.2">
      <c r="A128" s="101"/>
      <c r="B128" s="101"/>
      <c r="C128" s="101"/>
      <c r="D128" s="13" t="s">
        <v>26</v>
      </c>
      <c r="E128" s="73">
        <f t="shared" si="33"/>
        <v>0</v>
      </c>
      <c r="F128" s="73"/>
      <c r="G128" s="73"/>
      <c r="H128" s="73"/>
      <c r="I128" s="73"/>
      <c r="J128" s="74"/>
      <c r="K128" s="73"/>
      <c r="L128" s="75"/>
      <c r="M128" s="73"/>
      <c r="N128" s="73"/>
      <c r="O128" s="73"/>
      <c r="P128" s="73"/>
      <c r="Q128" s="73"/>
      <c r="R128" s="26"/>
      <c r="S128" s="22"/>
    </row>
    <row r="129" spans="1:19" ht="18" customHeight="1" x14ac:dyDescent="0.2">
      <c r="A129" s="101"/>
      <c r="B129" s="101"/>
      <c r="C129" s="101"/>
      <c r="D129" s="13" t="s">
        <v>87</v>
      </c>
      <c r="E129" s="73">
        <f t="shared" si="33"/>
        <v>0</v>
      </c>
      <c r="F129" s="73"/>
      <c r="G129" s="73"/>
      <c r="H129" s="73"/>
      <c r="I129" s="73"/>
      <c r="J129" s="74"/>
      <c r="K129" s="73"/>
      <c r="L129" s="75"/>
      <c r="M129" s="73"/>
      <c r="N129" s="73"/>
      <c r="O129" s="73"/>
      <c r="P129" s="73"/>
      <c r="Q129" s="73"/>
      <c r="R129" s="26"/>
      <c r="S129" s="22"/>
    </row>
    <row r="130" spans="1:19" ht="18" customHeight="1" x14ac:dyDescent="0.2">
      <c r="A130" s="102"/>
      <c r="B130" s="102"/>
      <c r="C130" s="102"/>
      <c r="D130" s="13" t="s">
        <v>88</v>
      </c>
      <c r="E130" s="73">
        <f>SUM(F130:Q130)</f>
        <v>4023.7166200000001</v>
      </c>
      <c r="F130" s="73"/>
      <c r="G130" s="73"/>
      <c r="H130" s="73"/>
      <c r="I130" s="73"/>
      <c r="J130" s="74"/>
      <c r="K130" s="73"/>
      <c r="L130" s="75"/>
      <c r="M130" s="73"/>
      <c r="N130" s="73"/>
      <c r="O130" s="73"/>
      <c r="P130" s="73"/>
      <c r="Q130" s="73">
        <v>4023.7166200000001</v>
      </c>
      <c r="R130" s="26"/>
      <c r="S130" s="22"/>
    </row>
    <row r="131" spans="1:19" ht="15.75" customHeight="1" x14ac:dyDescent="0.2">
      <c r="A131" s="99" t="s">
        <v>71</v>
      </c>
      <c r="B131" s="100" t="s">
        <v>72</v>
      </c>
      <c r="C131" s="99" t="s">
        <v>44</v>
      </c>
      <c r="D131" s="25" t="s">
        <v>8</v>
      </c>
      <c r="E131" s="70">
        <f>SUM(E132:E137)</f>
        <v>5264</v>
      </c>
      <c r="F131" s="70">
        <f>SUM(F132:F137)</f>
        <v>0</v>
      </c>
      <c r="G131" s="70">
        <f t="shared" ref="G131:Q131" si="34">SUM(G132:G137)</f>
        <v>0</v>
      </c>
      <c r="H131" s="70">
        <f t="shared" si="34"/>
        <v>0</v>
      </c>
      <c r="I131" s="70">
        <f t="shared" si="34"/>
        <v>499</v>
      </c>
      <c r="J131" s="71">
        <f t="shared" si="34"/>
        <v>1667.7</v>
      </c>
      <c r="K131" s="70">
        <f t="shared" si="34"/>
        <v>0</v>
      </c>
      <c r="L131" s="72">
        <f t="shared" si="34"/>
        <v>0</v>
      </c>
      <c r="M131" s="70">
        <f t="shared" si="34"/>
        <v>0</v>
      </c>
      <c r="N131" s="70">
        <f t="shared" si="34"/>
        <v>0</v>
      </c>
      <c r="O131" s="70">
        <f t="shared" si="34"/>
        <v>3097.3</v>
      </c>
      <c r="P131" s="70">
        <f t="shared" si="34"/>
        <v>0</v>
      </c>
      <c r="Q131" s="70">
        <f t="shared" si="34"/>
        <v>0</v>
      </c>
      <c r="R131" s="26"/>
    </row>
    <row r="132" spans="1:19" ht="15.75" customHeight="1" x14ac:dyDescent="0.2">
      <c r="A132" s="99"/>
      <c r="B132" s="101"/>
      <c r="C132" s="99"/>
      <c r="D132" s="11" t="s">
        <v>23</v>
      </c>
      <c r="E132" s="73">
        <f>SUM(F132:Q132)</f>
        <v>0</v>
      </c>
      <c r="F132" s="73">
        <f>F139+F146</f>
        <v>0</v>
      </c>
      <c r="G132" s="73">
        <f t="shared" ref="G132:Q134" si="35">G139+G146</f>
        <v>0</v>
      </c>
      <c r="H132" s="73">
        <f t="shared" si="35"/>
        <v>0</v>
      </c>
      <c r="I132" s="73">
        <f t="shared" si="35"/>
        <v>0</v>
      </c>
      <c r="J132" s="73">
        <f t="shared" si="35"/>
        <v>0</v>
      </c>
      <c r="K132" s="73">
        <f t="shared" si="35"/>
        <v>0</v>
      </c>
      <c r="L132" s="73">
        <f t="shared" si="35"/>
        <v>0</v>
      </c>
      <c r="M132" s="73">
        <f t="shared" si="35"/>
        <v>0</v>
      </c>
      <c r="N132" s="73">
        <f t="shared" si="35"/>
        <v>0</v>
      </c>
      <c r="O132" s="73">
        <f t="shared" si="35"/>
        <v>0</v>
      </c>
      <c r="P132" s="73">
        <f t="shared" si="35"/>
        <v>0</v>
      </c>
      <c r="Q132" s="73">
        <f t="shared" si="35"/>
        <v>0</v>
      </c>
      <c r="R132" s="26"/>
      <c r="S132" s="22"/>
    </row>
    <row r="133" spans="1:19" ht="15.75" customHeight="1" x14ac:dyDescent="0.2">
      <c r="A133" s="99"/>
      <c r="B133" s="101"/>
      <c r="C133" s="99"/>
      <c r="D133" s="11" t="s">
        <v>24</v>
      </c>
      <c r="E133" s="73">
        <f t="shared" ref="E133:E151" si="36">SUM(F133:Q133)</f>
        <v>3812</v>
      </c>
      <c r="F133" s="73">
        <f>F140+F147</f>
        <v>0</v>
      </c>
      <c r="G133" s="73">
        <f t="shared" si="35"/>
        <v>0</v>
      </c>
      <c r="H133" s="73">
        <f t="shared" si="35"/>
        <v>0</v>
      </c>
      <c r="I133" s="73">
        <f t="shared" si="35"/>
        <v>0</v>
      </c>
      <c r="J133" s="73">
        <f t="shared" si="35"/>
        <v>1334.16</v>
      </c>
      <c r="K133" s="73">
        <f t="shared" si="35"/>
        <v>0</v>
      </c>
      <c r="L133" s="73">
        <f t="shared" si="35"/>
        <v>0</v>
      </c>
      <c r="M133" s="73">
        <f t="shared" si="35"/>
        <v>0</v>
      </c>
      <c r="N133" s="73">
        <f t="shared" si="35"/>
        <v>0</v>
      </c>
      <c r="O133" s="73">
        <f t="shared" si="35"/>
        <v>2477.84</v>
      </c>
      <c r="P133" s="73">
        <f t="shared" si="35"/>
        <v>0</v>
      </c>
      <c r="Q133" s="73">
        <f t="shared" si="35"/>
        <v>0</v>
      </c>
      <c r="R133" s="26"/>
      <c r="S133" s="22"/>
    </row>
    <row r="134" spans="1:19" ht="15.75" customHeight="1" x14ac:dyDescent="0.2">
      <c r="A134" s="99"/>
      <c r="B134" s="101"/>
      <c r="C134" s="99"/>
      <c r="D134" s="12" t="s">
        <v>25</v>
      </c>
      <c r="E134" s="73">
        <f t="shared" si="36"/>
        <v>1452</v>
      </c>
      <c r="F134" s="73">
        <f>F141+F148</f>
        <v>0</v>
      </c>
      <c r="G134" s="73">
        <f t="shared" si="35"/>
        <v>0</v>
      </c>
      <c r="H134" s="73">
        <f t="shared" si="35"/>
        <v>0</v>
      </c>
      <c r="I134" s="73">
        <f t="shared" si="35"/>
        <v>499</v>
      </c>
      <c r="J134" s="73">
        <f t="shared" si="35"/>
        <v>333.53999999999996</v>
      </c>
      <c r="K134" s="73">
        <f t="shared" si="35"/>
        <v>0</v>
      </c>
      <c r="L134" s="73">
        <f t="shared" si="35"/>
        <v>0</v>
      </c>
      <c r="M134" s="73">
        <f t="shared" si="35"/>
        <v>0</v>
      </c>
      <c r="N134" s="73">
        <f t="shared" si="35"/>
        <v>0</v>
      </c>
      <c r="O134" s="73">
        <f t="shared" si="35"/>
        <v>619.45999999999992</v>
      </c>
      <c r="P134" s="73">
        <f t="shared" si="35"/>
        <v>0</v>
      </c>
      <c r="Q134" s="73">
        <f t="shared" si="35"/>
        <v>0</v>
      </c>
      <c r="R134" s="26"/>
      <c r="S134" s="22"/>
    </row>
    <row r="135" spans="1:19" ht="39.75" customHeight="1" x14ac:dyDescent="0.2">
      <c r="A135" s="99"/>
      <c r="B135" s="101"/>
      <c r="C135" s="99"/>
      <c r="D135" s="13" t="s">
        <v>26</v>
      </c>
      <c r="E135" s="73">
        <f t="shared" si="36"/>
        <v>0</v>
      </c>
      <c r="F135" s="73">
        <v>0</v>
      </c>
      <c r="G135" s="73">
        <v>0</v>
      </c>
      <c r="H135" s="73">
        <v>0</v>
      </c>
      <c r="I135" s="73">
        <v>0</v>
      </c>
      <c r="J135" s="73">
        <v>0</v>
      </c>
      <c r="K135" s="73">
        <v>0</v>
      </c>
      <c r="L135" s="73">
        <v>0</v>
      </c>
      <c r="M135" s="73">
        <v>0</v>
      </c>
      <c r="N135" s="73">
        <v>0</v>
      </c>
      <c r="O135" s="73">
        <v>0</v>
      </c>
      <c r="P135" s="73">
        <v>0</v>
      </c>
      <c r="Q135" s="73">
        <v>0</v>
      </c>
      <c r="R135" s="26"/>
      <c r="S135" s="22"/>
    </row>
    <row r="136" spans="1:19" ht="15.75" customHeight="1" x14ac:dyDescent="0.2">
      <c r="A136" s="99"/>
      <c r="B136" s="101"/>
      <c r="C136" s="99"/>
      <c r="D136" s="13" t="s">
        <v>87</v>
      </c>
      <c r="E136" s="73">
        <f t="shared" si="36"/>
        <v>0</v>
      </c>
      <c r="F136" s="73">
        <v>0</v>
      </c>
      <c r="G136" s="73">
        <v>0</v>
      </c>
      <c r="H136" s="73">
        <v>0</v>
      </c>
      <c r="I136" s="73">
        <v>0</v>
      </c>
      <c r="J136" s="73">
        <v>0</v>
      </c>
      <c r="K136" s="73">
        <v>0</v>
      </c>
      <c r="L136" s="73">
        <v>0</v>
      </c>
      <c r="M136" s="73">
        <v>0</v>
      </c>
      <c r="N136" s="73">
        <v>0</v>
      </c>
      <c r="O136" s="73">
        <v>0</v>
      </c>
      <c r="P136" s="73">
        <v>0</v>
      </c>
      <c r="Q136" s="73">
        <v>0</v>
      </c>
      <c r="R136" s="26"/>
      <c r="S136" s="22"/>
    </row>
    <row r="137" spans="1:19" ht="15" customHeight="1" x14ac:dyDescent="0.2">
      <c r="A137" s="100"/>
      <c r="B137" s="101"/>
      <c r="C137" s="100"/>
      <c r="D137" s="13" t="s">
        <v>88</v>
      </c>
      <c r="E137" s="73">
        <f>SUM(F137:Q137)</f>
        <v>0</v>
      </c>
      <c r="F137" s="73">
        <f>F144+F151</f>
        <v>0</v>
      </c>
      <c r="G137" s="73">
        <f t="shared" ref="G137:P137" si="37">G144+G151</f>
        <v>0</v>
      </c>
      <c r="H137" s="73">
        <f t="shared" si="37"/>
        <v>0</v>
      </c>
      <c r="I137" s="73">
        <f t="shared" si="37"/>
        <v>0</v>
      </c>
      <c r="J137" s="73">
        <f t="shared" si="37"/>
        <v>0</v>
      </c>
      <c r="K137" s="73">
        <f t="shared" si="37"/>
        <v>0</v>
      </c>
      <c r="L137" s="73">
        <f t="shared" si="37"/>
        <v>0</v>
      </c>
      <c r="M137" s="73">
        <f t="shared" si="37"/>
        <v>0</v>
      </c>
      <c r="N137" s="73">
        <f t="shared" si="37"/>
        <v>0</v>
      </c>
      <c r="O137" s="73">
        <f t="shared" si="37"/>
        <v>0</v>
      </c>
      <c r="P137" s="73">
        <f t="shared" si="37"/>
        <v>0</v>
      </c>
      <c r="Q137" s="73">
        <f>Q144+Q151</f>
        <v>0</v>
      </c>
      <c r="R137" s="26"/>
      <c r="S137" s="22"/>
    </row>
    <row r="138" spans="1:19" ht="15" customHeight="1" x14ac:dyDescent="0.2">
      <c r="A138" s="99" t="s">
        <v>74</v>
      </c>
      <c r="B138" s="100" t="s">
        <v>79</v>
      </c>
      <c r="C138" s="99" t="s">
        <v>75</v>
      </c>
      <c r="D138" s="25" t="s">
        <v>8</v>
      </c>
      <c r="E138" s="73">
        <f>SUM(E139:E144)</f>
        <v>5264</v>
      </c>
      <c r="F138" s="73">
        <f>F139+F140+F141+F144</f>
        <v>0</v>
      </c>
      <c r="G138" s="73">
        <f t="shared" ref="G138:P138" si="38">G139+G140+G141+G144</f>
        <v>0</v>
      </c>
      <c r="H138" s="73">
        <f t="shared" si="38"/>
        <v>0</v>
      </c>
      <c r="I138" s="73">
        <f t="shared" si="38"/>
        <v>499</v>
      </c>
      <c r="J138" s="73">
        <f t="shared" si="38"/>
        <v>1667.7</v>
      </c>
      <c r="K138" s="73">
        <f t="shared" si="38"/>
        <v>0</v>
      </c>
      <c r="L138" s="73">
        <f t="shared" si="38"/>
        <v>0</v>
      </c>
      <c r="M138" s="73">
        <f t="shared" si="38"/>
        <v>0</v>
      </c>
      <c r="N138" s="73">
        <f t="shared" si="38"/>
        <v>0</v>
      </c>
      <c r="O138" s="73">
        <f t="shared" si="38"/>
        <v>3097.3</v>
      </c>
      <c r="P138" s="73">
        <f t="shared" si="38"/>
        <v>0</v>
      </c>
      <c r="Q138" s="73">
        <f>Q139+Q140+Q141+Q144</f>
        <v>0</v>
      </c>
      <c r="R138" s="26"/>
      <c r="S138" s="22"/>
    </row>
    <row r="139" spans="1:19" ht="15" customHeight="1" x14ac:dyDescent="0.2">
      <c r="A139" s="99"/>
      <c r="B139" s="101"/>
      <c r="C139" s="99"/>
      <c r="D139" s="11" t="s">
        <v>23</v>
      </c>
      <c r="E139" s="73"/>
      <c r="F139" s="73"/>
      <c r="G139" s="73"/>
      <c r="H139" s="73"/>
      <c r="I139" s="73"/>
      <c r="J139" s="74"/>
      <c r="K139" s="73"/>
      <c r="L139" s="75"/>
      <c r="M139" s="73"/>
      <c r="N139" s="73"/>
      <c r="O139" s="73"/>
      <c r="P139" s="73"/>
      <c r="Q139" s="73"/>
      <c r="R139" s="26"/>
      <c r="S139" s="22"/>
    </row>
    <row r="140" spans="1:19" ht="15" customHeight="1" x14ac:dyDescent="0.2">
      <c r="A140" s="99"/>
      <c r="B140" s="101"/>
      <c r="C140" s="99"/>
      <c r="D140" s="11" t="s">
        <v>24</v>
      </c>
      <c r="E140" s="73">
        <f t="shared" ref="E140:E143" si="39">SUM(F140:Q140)</f>
        <v>3812</v>
      </c>
      <c r="F140" s="73">
        <v>0</v>
      </c>
      <c r="G140" s="73">
        <v>0</v>
      </c>
      <c r="H140" s="73">
        <v>0</v>
      </c>
      <c r="I140" s="73">
        <v>0</v>
      </c>
      <c r="J140" s="74">
        <v>1334.16</v>
      </c>
      <c r="K140" s="73">
        <v>0</v>
      </c>
      <c r="L140" s="75">
        <v>0</v>
      </c>
      <c r="M140" s="73">
        <v>0</v>
      </c>
      <c r="N140" s="73">
        <v>0</v>
      </c>
      <c r="O140" s="73">
        <v>2477.84</v>
      </c>
      <c r="P140" s="73">
        <v>0</v>
      </c>
      <c r="Q140" s="73">
        <v>0</v>
      </c>
      <c r="R140" s="26"/>
      <c r="S140" s="22"/>
    </row>
    <row r="141" spans="1:19" ht="15" customHeight="1" x14ac:dyDescent="0.2">
      <c r="A141" s="99"/>
      <c r="B141" s="101"/>
      <c r="C141" s="99"/>
      <c r="D141" s="12" t="s">
        <v>25</v>
      </c>
      <c r="E141" s="73">
        <f t="shared" si="39"/>
        <v>1452</v>
      </c>
      <c r="F141" s="73">
        <v>0</v>
      </c>
      <c r="G141" s="73">
        <f>120-120</f>
        <v>0</v>
      </c>
      <c r="H141" s="73">
        <f>46.09-46.09</f>
        <v>0</v>
      </c>
      <c r="I141" s="73">
        <f>99+400</f>
        <v>499</v>
      </c>
      <c r="J141" s="74">
        <f>679.54-346</f>
        <v>333.53999999999996</v>
      </c>
      <c r="K141" s="73">
        <v>0</v>
      </c>
      <c r="L141" s="75">
        <v>0</v>
      </c>
      <c r="M141" s="73">
        <v>0</v>
      </c>
      <c r="N141" s="73">
        <v>0</v>
      </c>
      <c r="O141" s="73">
        <f>665.55-46.09</f>
        <v>619.45999999999992</v>
      </c>
      <c r="P141" s="73">
        <v>0</v>
      </c>
      <c r="Q141" s="73">
        <v>0</v>
      </c>
      <c r="R141" s="26"/>
      <c r="S141" s="22"/>
    </row>
    <row r="142" spans="1:19" ht="42.75" customHeight="1" x14ac:dyDescent="0.2">
      <c r="A142" s="99"/>
      <c r="B142" s="101"/>
      <c r="C142" s="99"/>
      <c r="D142" s="13" t="s">
        <v>26</v>
      </c>
      <c r="E142" s="73">
        <f t="shared" si="39"/>
        <v>0</v>
      </c>
      <c r="F142" s="73"/>
      <c r="G142" s="73"/>
      <c r="H142" s="73"/>
      <c r="I142" s="73"/>
      <c r="J142" s="74"/>
      <c r="K142" s="73"/>
      <c r="L142" s="75"/>
      <c r="M142" s="73"/>
      <c r="N142" s="73"/>
      <c r="O142" s="73"/>
      <c r="P142" s="73"/>
      <c r="Q142" s="73"/>
      <c r="R142" s="26"/>
      <c r="S142" s="22"/>
    </row>
    <row r="143" spans="1:19" ht="15" customHeight="1" x14ac:dyDescent="0.2">
      <c r="A143" s="99"/>
      <c r="B143" s="101"/>
      <c r="C143" s="99"/>
      <c r="D143" s="13" t="s">
        <v>87</v>
      </c>
      <c r="E143" s="73">
        <f t="shared" si="39"/>
        <v>0</v>
      </c>
      <c r="F143" s="73"/>
      <c r="G143" s="73"/>
      <c r="H143" s="73"/>
      <c r="I143" s="73"/>
      <c r="J143" s="74"/>
      <c r="K143" s="73"/>
      <c r="L143" s="75"/>
      <c r="M143" s="73"/>
      <c r="N143" s="73"/>
      <c r="O143" s="73"/>
      <c r="P143" s="73"/>
      <c r="Q143" s="73"/>
      <c r="R143" s="26"/>
      <c r="S143" s="22"/>
    </row>
    <row r="144" spans="1:19" ht="15" customHeight="1" x14ac:dyDescent="0.2">
      <c r="A144" s="99"/>
      <c r="B144" s="101"/>
      <c r="C144" s="99"/>
      <c r="D144" s="13" t="s">
        <v>88</v>
      </c>
      <c r="E144" s="73">
        <f>SUM(F144:Q144)</f>
        <v>0</v>
      </c>
      <c r="F144" s="73"/>
      <c r="G144" s="73"/>
      <c r="H144" s="73"/>
      <c r="I144" s="73"/>
      <c r="J144" s="74"/>
      <c r="K144" s="73"/>
      <c r="L144" s="75"/>
      <c r="M144" s="73"/>
      <c r="N144" s="73"/>
      <c r="O144" s="73"/>
      <c r="P144" s="73"/>
      <c r="Q144" s="73">
        <f>1112.5-1112.5</f>
        <v>0</v>
      </c>
      <c r="R144" s="26"/>
      <c r="S144" s="22"/>
    </row>
    <row r="145" spans="1:20" ht="15" customHeight="1" x14ac:dyDescent="0.2">
      <c r="A145" s="103" t="s">
        <v>73</v>
      </c>
      <c r="B145" s="101"/>
      <c r="C145" s="99" t="s">
        <v>32</v>
      </c>
      <c r="D145" s="25" t="s">
        <v>8</v>
      </c>
      <c r="E145" s="70">
        <f>SUM(E146:E151)</f>
        <v>0</v>
      </c>
      <c r="F145" s="70">
        <f t="shared" ref="F145:Q145" si="40">SUM(F146:F151)</f>
        <v>0</v>
      </c>
      <c r="G145" s="70">
        <f t="shared" si="40"/>
        <v>0</v>
      </c>
      <c r="H145" s="70">
        <f t="shared" si="40"/>
        <v>0</v>
      </c>
      <c r="I145" s="70">
        <f t="shared" si="40"/>
        <v>0</v>
      </c>
      <c r="J145" s="71">
        <f t="shared" si="40"/>
        <v>0</v>
      </c>
      <c r="K145" s="70">
        <f t="shared" si="40"/>
        <v>0</v>
      </c>
      <c r="L145" s="72">
        <f t="shared" si="40"/>
        <v>0</v>
      </c>
      <c r="M145" s="70">
        <f t="shared" si="40"/>
        <v>0</v>
      </c>
      <c r="N145" s="70">
        <f t="shared" si="40"/>
        <v>0</v>
      </c>
      <c r="O145" s="70">
        <f t="shared" si="40"/>
        <v>0</v>
      </c>
      <c r="P145" s="70">
        <f t="shared" si="40"/>
        <v>0</v>
      </c>
      <c r="Q145" s="70">
        <f t="shared" si="40"/>
        <v>0</v>
      </c>
      <c r="R145" s="26"/>
      <c r="S145" s="22"/>
    </row>
    <row r="146" spans="1:20" ht="15" customHeight="1" x14ac:dyDescent="0.2">
      <c r="A146" s="103"/>
      <c r="B146" s="101"/>
      <c r="C146" s="99"/>
      <c r="D146" s="11" t="s">
        <v>23</v>
      </c>
      <c r="E146" s="73">
        <f t="shared" si="36"/>
        <v>0</v>
      </c>
      <c r="F146" s="73"/>
      <c r="G146" s="73"/>
      <c r="H146" s="73"/>
      <c r="I146" s="73"/>
      <c r="J146" s="74"/>
      <c r="K146" s="73"/>
      <c r="L146" s="75"/>
      <c r="M146" s="73"/>
      <c r="N146" s="73"/>
      <c r="O146" s="73"/>
      <c r="P146" s="73"/>
      <c r="Q146" s="73"/>
      <c r="R146" s="26"/>
      <c r="S146" s="22"/>
    </row>
    <row r="147" spans="1:20" ht="15" customHeight="1" x14ac:dyDescent="0.2">
      <c r="A147" s="103"/>
      <c r="B147" s="101"/>
      <c r="C147" s="99"/>
      <c r="D147" s="11" t="s">
        <v>24</v>
      </c>
      <c r="E147" s="73">
        <f t="shared" si="36"/>
        <v>0</v>
      </c>
      <c r="F147" s="73"/>
      <c r="G147" s="73"/>
      <c r="H147" s="73"/>
      <c r="I147" s="73"/>
      <c r="J147" s="74"/>
      <c r="K147" s="73"/>
      <c r="L147" s="75"/>
      <c r="M147" s="73"/>
      <c r="N147" s="73"/>
      <c r="O147" s="73"/>
      <c r="P147" s="73"/>
      <c r="Q147" s="73"/>
      <c r="R147" s="26"/>
      <c r="S147" s="22"/>
    </row>
    <row r="148" spans="1:20" ht="15" customHeight="1" x14ac:dyDescent="0.2">
      <c r="A148" s="103"/>
      <c r="B148" s="101"/>
      <c r="C148" s="99"/>
      <c r="D148" s="12" t="s">
        <v>25</v>
      </c>
      <c r="E148" s="73">
        <f t="shared" si="36"/>
        <v>0</v>
      </c>
      <c r="F148" s="73"/>
      <c r="G148" s="73"/>
      <c r="H148" s="73"/>
      <c r="I148" s="73"/>
      <c r="J148" s="74"/>
      <c r="K148" s="73"/>
      <c r="L148" s="75"/>
      <c r="M148" s="73"/>
      <c r="N148" s="73"/>
      <c r="O148" s="73"/>
      <c r="P148" s="73"/>
      <c r="Q148" s="73"/>
      <c r="R148" s="26"/>
      <c r="S148" s="22"/>
    </row>
    <row r="149" spans="1:20" ht="40.5" customHeight="1" x14ac:dyDescent="0.2">
      <c r="A149" s="103"/>
      <c r="B149" s="101"/>
      <c r="C149" s="99"/>
      <c r="D149" s="13" t="s">
        <v>26</v>
      </c>
      <c r="E149" s="73">
        <f t="shared" si="36"/>
        <v>0</v>
      </c>
      <c r="F149" s="73"/>
      <c r="G149" s="73"/>
      <c r="H149" s="73"/>
      <c r="I149" s="73"/>
      <c r="J149" s="74"/>
      <c r="K149" s="73"/>
      <c r="L149" s="75"/>
      <c r="M149" s="73"/>
      <c r="N149" s="73"/>
      <c r="O149" s="73"/>
      <c r="P149" s="73"/>
      <c r="Q149" s="73"/>
      <c r="R149" s="26"/>
      <c r="S149" s="22"/>
    </row>
    <row r="150" spans="1:20" ht="17.25" customHeight="1" x14ac:dyDescent="0.2">
      <c r="A150" s="103"/>
      <c r="B150" s="101"/>
      <c r="C150" s="99"/>
      <c r="D150" s="13" t="s">
        <v>87</v>
      </c>
      <c r="E150" s="73">
        <f t="shared" si="36"/>
        <v>0</v>
      </c>
      <c r="F150" s="73"/>
      <c r="G150" s="73"/>
      <c r="H150" s="73"/>
      <c r="I150" s="73"/>
      <c r="J150" s="74"/>
      <c r="K150" s="73"/>
      <c r="L150" s="75"/>
      <c r="M150" s="73"/>
      <c r="N150" s="73"/>
      <c r="O150" s="73"/>
      <c r="P150" s="73"/>
      <c r="Q150" s="73"/>
      <c r="R150" s="26"/>
      <c r="S150" s="22"/>
    </row>
    <row r="151" spans="1:20" ht="15" customHeight="1" x14ac:dyDescent="0.2">
      <c r="A151" s="103"/>
      <c r="B151" s="102"/>
      <c r="C151" s="99"/>
      <c r="D151" s="13" t="s">
        <v>88</v>
      </c>
      <c r="E151" s="73">
        <f t="shared" si="36"/>
        <v>0</v>
      </c>
      <c r="F151" s="73"/>
      <c r="G151" s="73"/>
      <c r="H151" s="73"/>
      <c r="I151" s="73"/>
      <c r="J151" s="74"/>
      <c r="K151" s="73"/>
      <c r="L151" s="75"/>
      <c r="M151" s="73"/>
      <c r="N151" s="73"/>
      <c r="O151" s="73"/>
      <c r="P151" s="73"/>
      <c r="Q151" s="80">
        <f>110393.88-110393.88</f>
        <v>0</v>
      </c>
      <c r="R151" s="37"/>
      <c r="S151" s="22"/>
    </row>
    <row r="152" spans="1:20" s="27" customFormat="1" ht="15.75" customHeight="1" x14ac:dyDescent="0.2">
      <c r="A152" s="99" t="s">
        <v>65</v>
      </c>
      <c r="B152" s="99" t="s">
        <v>43</v>
      </c>
      <c r="C152" s="99" t="s">
        <v>36</v>
      </c>
      <c r="D152" s="25" t="s">
        <v>8</v>
      </c>
      <c r="E152" s="70">
        <f>SUM(E153:E158)</f>
        <v>335.1</v>
      </c>
      <c r="F152" s="70">
        <f t="shared" ref="F152:Q152" si="41">SUM(F153:F158)</f>
        <v>0</v>
      </c>
      <c r="G152" s="70">
        <f t="shared" si="41"/>
        <v>0</v>
      </c>
      <c r="H152" s="70">
        <f t="shared" si="41"/>
        <v>0</v>
      </c>
      <c r="I152" s="70">
        <f t="shared" si="41"/>
        <v>0</v>
      </c>
      <c r="J152" s="71">
        <f t="shared" si="41"/>
        <v>0</v>
      </c>
      <c r="K152" s="70">
        <f t="shared" si="41"/>
        <v>0</v>
      </c>
      <c r="L152" s="72">
        <f t="shared" si="41"/>
        <v>0</v>
      </c>
      <c r="M152" s="70">
        <f t="shared" si="41"/>
        <v>0</v>
      </c>
      <c r="N152" s="70">
        <f t="shared" si="41"/>
        <v>0</v>
      </c>
      <c r="O152" s="70">
        <f t="shared" si="41"/>
        <v>0</v>
      </c>
      <c r="P152" s="70">
        <f t="shared" si="41"/>
        <v>0</v>
      </c>
      <c r="Q152" s="70">
        <f t="shared" si="41"/>
        <v>335.1</v>
      </c>
      <c r="R152" s="26"/>
      <c r="T152" s="22"/>
    </row>
    <row r="153" spans="1:20" s="27" customFormat="1" ht="15.75" customHeight="1" x14ac:dyDescent="0.2">
      <c r="A153" s="99"/>
      <c r="B153" s="99"/>
      <c r="C153" s="99"/>
      <c r="D153" s="11" t="s">
        <v>23</v>
      </c>
      <c r="E153" s="73">
        <f t="shared" ref="E153:E158" si="42">SUM(F153:Q153)</f>
        <v>0</v>
      </c>
      <c r="F153" s="73">
        <v>0</v>
      </c>
      <c r="G153" s="73">
        <v>0</v>
      </c>
      <c r="H153" s="73">
        <v>0</v>
      </c>
      <c r="I153" s="73">
        <v>0</v>
      </c>
      <c r="J153" s="73">
        <v>0</v>
      </c>
      <c r="K153" s="73">
        <v>0</v>
      </c>
      <c r="L153" s="75">
        <v>0</v>
      </c>
      <c r="M153" s="73">
        <v>0</v>
      </c>
      <c r="N153" s="73">
        <v>0</v>
      </c>
      <c r="O153" s="73">
        <v>0</v>
      </c>
      <c r="P153" s="73">
        <v>0</v>
      </c>
      <c r="Q153" s="73">
        <v>0</v>
      </c>
      <c r="R153" s="26"/>
      <c r="T153" s="22"/>
    </row>
    <row r="154" spans="1:20" s="27" customFormat="1" ht="15.75" customHeight="1" x14ac:dyDescent="0.2">
      <c r="A154" s="99"/>
      <c r="B154" s="99"/>
      <c r="C154" s="99"/>
      <c r="D154" s="11" t="s">
        <v>24</v>
      </c>
      <c r="E154" s="73">
        <f t="shared" si="42"/>
        <v>0</v>
      </c>
      <c r="F154" s="73">
        <v>0</v>
      </c>
      <c r="G154" s="73">
        <v>0</v>
      </c>
      <c r="H154" s="73">
        <v>0</v>
      </c>
      <c r="I154" s="73">
        <v>0</v>
      </c>
      <c r="J154" s="73">
        <v>0</v>
      </c>
      <c r="K154" s="73">
        <v>0</v>
      </c>
      <c r="L154" s="75">
        <v>0</v>
      </c>
      <c r="M154" s="73">
        <v>0</v>
      </c>
      <c r="N154" s="73">
        <v>0</v>
      </c>
      <c r="O154" s="73">
        <v>0</v>
      </c>
      <c r="P154" s="73">
        <v>0</v>
      </c>
      <c r="Q154" s="73">
        <v>0</v>
      </c>
      <c r="R154" s="26"/>
      <c r="T154" s="22"/>
    </row>
    <row r="155" spans="1:20" s="27" customFormat="1" ht="15.75" customHeight="1" x14ac:dyDescent="0.2">
      <c r="A155" s="99"/>
      <c r="B155" s="99"/>
      <c r="C155" s="99"/>
      <c r="D155" s="12" t="s">
        <v>25</v>
      </c>
      <c r="E155" s="73">
        <f t="shared" si="42"/>
        <v>0</v>
      </c>
      <c r="F155" s="73">
        <v>0</v>
      </c>
      <c r="G155" s="73">
        <v>0</v>
      </c>
      <c r="H155" s="73">
        <v>0</v>
      </c>
      <c r="I155" s="73">
        <v>0</v>
      </c>
      <c r="J155" s="73">
        <v>0</v>
      </c>
      <c r="K155" s="73">
        <v>0</v>
      </c>
      <c r="L155" s="75">
        <v>0</v>
      </c>
      <c r="M155" s="73">
        <v>0</v>
      </c>
      <c r="N155" s="73">
        <v>0</v>
      </c>
      <c r="O155" s="73">
        <v>0</v>
      </c>
      <c r="P155" s="73">
        <v>0</v>
      </c>
      <c r="Q155" s="73">
        <v>0</v>
      </c>
      <c r="R155" s="26"/>
      <c r="T155" s="22"/>
    </row>
    <row r="156" spans="1:20" s="27" customFormat="1" ht="41.25" customHeight="1" x14ac:dyDescent="0.2">
      <c r="A156" s="99"/>
      <c r="B156" s="99"/>
      <c r="C156" s="99"/>
      <c r="D156" s="13" t="s">
        <v>26</v>
      </c>
      <c r="E156" s="73">
        <f t="shared" si="42"/>
        <v>0</v>
      </c>
      <c r="F156" s="73">
        <v>0</v>
      </c>
      <c r="G156" s="73">
        <v>0</v>
      </c>
      <c r="H156" s="73">
        <v>0</v>
      </c>
      <c r="I156" s="73">
        <v>0</v>
      </c>
      <c r="J156" s="73">
        <v>0</v>
      </c>
      <c r="K156" s="73">
        <v>0</v>
      </c>
      <c r="L156" s="75">
        <v>0</v>
      </c>
      <c r="M156" s="73">
        <v>0</v>
      </c>
      <c r="N156" s="73">
        <v>0</v>
      </c>
      <c r="O156" s="73">
        <v>0</v>
      </c>
      <c r="P156" s="73">
        <v>0</v>
      </c>
      <c r="Q156" s="73">
        <v>0</v>
      </c>
      <c r="R156" s="26"/>
      <c r="T156" s="22"/>
    </row>
    <row r="157" spans="1:20" s="27" customFormat="1" ht="28.5" customHeight="1" x14ac:dyDescent="0.2">
      <c r="A157" s="99"/>
      <c r="B157" s="99"/>
      <c r="C157" s="99"/>
      <c r="D157" s="13" t="s">
        <v>87</v>
      </c>
      <c r="E157" s="73">
        <f t="shared" si="42"/>
        <v>0</v>
      </c>
      <c r="F157" s="73">
        <v>0</v>
      </c>
      <c r="G157" s="73">
        <v>0</v>
      </c>
      <c r="H157" s="73">
        <v>0</v>
      </c>
      <c r="I157" s="73">
        <v>0</v>
      </c>
      <c r="J157" s="73">
        <v>0</v>
      </c>
      <c r="K157" s="73">
        <v>0</v>
      </c>
      <c r="L157" s="75">
        <v>0</v>
      </c>
      <c r="M157" s="73">
        <v>0</v>
      </c>
      <c r="N157" s="73">
        <v>0</v>
      </c>
      <c r="O157" s="73">
        <v>0</v>
      </c>
      <c r="P157" s="73">
        <v>0</v>
      </c>
      <c r="Q157" s="73">
        <v>0</v>
      </c>
      <c r="R157" s="26"/>
      <c r="T157" s="22"/>
    </row>
    <row r="158" spans="1:20" s="27" customFormat="1" ht="16.5" customHeight="1" x14ac:dyDescent="0.2">
      <c r="A158" s="99"/>
      <c r="B158" s="99"/>
      <c r="C158" s="99"/>
      <c r="D158" s="13" t="s">
        <v>88</v>
      </c>
      <c r="E158" s="73">
        <f t="shared" si="42"/>
        <v>335.1</v>
      </c>
      <c r="F158" s="73">
        <v>0</v>
      </c>
      <c r="G158" s="73">
        <v>0</v>
      </c>
      <c r="H158" s="73">
        <v>0</v>
      </c>
      <c r="I158" s="73">
        <v>0</v>
      </c>
      <c r="J158" s="73">
        <v>0</v>
      </c>
      <c r="K158" s="73">
        <v>0</v>
      </c>
      <c r="L158" s="75">
        <v>0</v>
      </c>
      <c r="M158" s="73">
        <v>0</v>
      </c>
      <c r="N158" s="73">
        <v>0</v>
      </c>
      <c r="O158" s="73">
        <v>0</v>
      </c>
      <c r="P158" s="73">
        <v>0</v>
      </c>
      <c r="Q158" s="73">
        <v>335.1</v>
      </c>
      <c r="R158" s="26"/>
      <c r="T158" s="22"/>
    </row>
    <row r="159" spans="1:20" s="27" customFormat="1" ht="15.75" customHeight="1" x14ac:dyDescent="0.2">
      <c r="A159" s="92" t="s">
        <v>37</v>
      </c>
      <c r="B159" s="92"/>
      <c r="C159" s="93"/>
      <c r="D159" s="14" t="s">
        <v>8</v>
      </c>
      <c r="E159" s="70">
        <f>SUM(E160:E165)</f>
        <v>413138.53284</v>
      </c>
      <c r="F159" s="70">
        <f>SUM(F160:F165)</f>
        <v>6211.11042</v>
      </c>
      <c r="G159" s="70">
        <f t="shared" ref="G159:Q159" si="43">SUM(G160:G165)</f>
        <v>18434.58092</v>
      </c>
      <c r="H159" s="70">
        <f t="shared" si="43"/>
        <v>19112.553449999999</v>
      </c>
      <c r="I159" s="70">
        <f t="shared" si="43"/>
        <v>18772.04105</v>
      </c>
      <c r="J159" s="71">
        <f t="shared" si="43"/>
        <v>20752.809309999997</v>
      </c>
      <c r="K159" s="70">
        <f t="shared" si="43"/>
        <v>20030.414280000001</v>
      </c>
      <c r="L159" s="72">
        <f t="shared" si="43"/>
        <v>17646.018819999998</v>
      </c>
      <c r="M159" s="70">
        <f t="shared" si="43"/>
        <v>12800.761469999999</v>
      </c>
      <c r="N159" s="70">
        <f t="shared" si="43"/>
        <v>10408.68867</v>
      </c>
      <c r="O159" s="70">
        <f t="shared" si="43"/>
        <v>13614.23155</v>
      </c>
      <c r="P159" s="70">
        <f t="shared" si="43"/>
        <v>8807.3858700000001</v>
      </c>
      <c r="Q159" s="70">
        <f t="shared" si="43"/>
        <v>246547.93703000003</v>
      </c>
      <c r="R159" s="26"/>
      <c r="T159" s="22"/>
    </row>
    <row r="160" spans="1:20" s="27" customFormat="1" ht="15.75" customHeight="1" x14ac:dyDescent="0.2">
      <c r="A160" s="92"/>
      <c r="B160" s="92"/>
      <c r="C160" s="94"/>
      <c r="D160" s="11" t="s">
        <v>23</v>
      </c>
      <c r="E160" s="73">
        <f t="shared" ref="E160:E164" si="44">SUM(F160:Q160)</f>
        <v>0</v>
      </c>
      <c r="F160" s="73">
        <f t="shared" ref="F160:Q160" si="45">F34+F41+F48+F55+F62+F69+F76+F83+F90+F97+F104+F132+F146+F153</f>
        <v>0</v>
      </c>
      <c r="G160" s="73">
        <f t="shared" si="45"/>
        <v>0</v>
      </c>
      <c r="H160" s="73">
        <f t="shared" si="45"/>
        <v>0</v>
      </c>
      <c r="I160" s="73">
        <f t="shared" si="45"/>
        <v>0</v>
      </c>
      <c r="J160" s="73">
        <f t="shared" si="45"/>
        <v>0</v>
      </c>
      <c r="K160" s="73">
        <f t="shared" si="45"/>
        <v>0</v>
      </c>
      <c r="L160" s="73">
        <f t="shared" si="45"/>
        <v>0</v>
      </c>
      <c r="M160" s="73">
        <f t="shared" si="45"/>
        <v>0</v>
      </c>
      <c r="N160" s="73">
        <f t="shared" si="45"/>
        <v>0</v>
      </c>
      <c r="O160" s="73">
        <f t="shared" si="45"/>
        <v>0</v>
      </c>
      <c r="P160" s="73">
        <f t="shared" si="45"/>
        <v>0</v>
      </c>
      <c r="Q160" s="73">
        <f t="shared" si="45"/>
        <v>0</v>
      </c>
      <c r="R160" s="26"/>
      <c r="T160" s="22"/>
    </row>
    <row r="161" spans="1:20" s="27" customFormat="1" ht="15.75" customHeight="1" x14ac:dyDescent="0.2">
      <c r="A161" s="92"/>
      <c r="B161" s="92"/>
      <c r="C161" s="94"/>
      <c r="D161" s="11" t="s">
        <v>24</v>
      </c>
      <c r="E161" s="73">
        <f>SUM(F161:Q161)</f>
        <v>7480.1</v>
      </c>
      <c r="F161" s="73">
        <f t="shared" ref="F161:I161" si="46">F35+F42+F56+F63+F70+F77+F84+F91+F98+F105+F133+F147+F154</f>
        <v>0</v>
      </c>
      <c r="G161" s="73">
        <f t="shared" si="46"/>
        <v>0</v>
      </c>
      <c r="H161" s="73">
        <f t="shared" si="46"/>
        <v>0</v>
      </c>
      <c r="I161" s="73">
        <f t="shared" si="46"/>
        <v>0</v>
      </c>
      <c r="J161" s="73">
        <f>J35+J42+J56+J63+J70+J77+J84+J91+J98+J105+J133+J147+J154</f>
        <v>2034.16</v>
      </c>
      <c r="K161" s="73">
        <f t="shared" ref="K161:Q161" si="47">K35+K42+K56+K63+K70+K77+K84+K91+K98+K105+K133+K147+K154</f>
        <v>0</v>
      </c>
      <c r="L161" s="73">
        <f t="shared" si="47"/>
        <v>2000</v>
      </c>
      <c r="M161" s="73">
        <f t="shared" si="47"/>
        <v>968.1</v>
      </c>
      <c r="N161" s="73">
        <f t="shared" si="47"/>
        <v>0</v>
      </c>
      <c r="O161" s="73">
        <f t="shared" si="47"/>
        <v>2477.84</v>
      </c>
      <c r="P161" s="73">
        <f t="shared" si="47"/>
        <v>0</v>
      </c>
      <c r="Q161" s="73">
        <f t="shared" si="47"/>
        <v>0</v>
      </c>
      <c r="R161" s="26"/>
      <c r="T161" s="22"/>
    </row>
    <row r="162" spans="1:20" s="27" customFormat="1" ht="15.75" customHeight="1" x14ac:dyDescent="0.2">
      <c r="A162" s="92"/>
      <c r="B162" s="92"/>
      <c r="C162" s="94"/>
      <c r="D162" s="12" t="s">
        <v>25</v>
      </c>
      <c r="E162" s="73">
        <f t="shared" si="44"/>
        <v>171603.62596</v>
      </c>
      <c r="F162" s="73">
        <f>F22+F36+F43+F64+F92+F99+F106+F134+F155</f>
        <v>6211.11042</v>
      </c>
      <c r="G162" s="73">
        <f t="shared" ref="G162:Q162" si="48">G22+G36+G43+G64+G92+G99+G106+G134+G155</f>
        <v>18434.58092</v>
      </c>
      <c r="H162" s="73">
        <f t="shared" si="48"/>
        <v>19112.553449999999</v>
      </c>
      <c r="I162" s="73">
        <f t="shared" si="48"/>
        <v>18772.04105</v>
      </c>
      <c r="J162" s="73">
        <f t="shared" si="48"/>
        <v>18718.649309999997</v>
      </c>
      <c r="K162" s="73">
        <f t="shared" si="48"/>
        <v>20030.414280000001</v>
      </c>
      <c r="L162" s="73">
        <f t="shared" si="48"/>
        <v>15646.018819999999</v>
      </c>
      <c r="M162" s="73">
        <f t="shared" si="48"/>
        <v>11832.661469999999</v>
      </c>
      <c r="N162" s="73">
        <f t="shared" si="48"/>
        <v>10408.68867</v>
      </c>
      <c r="O162" s="73">
        <f t="shared" si="48"/>
        <v>11136.39155</v>
      </c>
      <c r="P162" s="73">
        <f t="shared" si="48"/>
        <v>8807.3858700000001</v>
      </c>
      <c r="Q162" s="73">
        <f t="shared" si="48"/>
        <v>12493.130150000001</v>
      </c>
      <c r="R162" s="26"/>
      <c r="S162" s="52"/>
      <c r="T162" s="22"/>
    </row>
    <row r="163" spans="1:20" s="27" customFormat="1" ht="45.75" customHeight="1" x14ac:dyDescent="0.2">
      <c r="A163" s="92"/>
      <c r="B163" s="92"/>
      <c r="C163" s="94"/>
      <c r="D163" s="13" t="s">
        <v>26</v>
      </c>
      <c r="E163" s="73">
        <f t="shared" si="44"/>
        <v>0</v>
      </c>
      <c r="F163" s="73">
        <f t="shared" ref="F163:Q165" si="49">F37+F44+F51+F58+F65+F72+F79+F86+F93+F100+F107+F135+F149+F156</f>
        <v>0</v>
      </c>
      <c r="G163" s="73">
        <f t="shared" si="49"/>
        <v>0</v>
      </c>
      <c r="H163" s="73">
        <f t="shared" si="49"/>
        <v>0</v>
      </c>
      <c r="I163" s="73">
        <f t="shared" si="49"/>
        <v>0</v>
      </c>
      <c r="J163" s="73">
        <f t="shared" si="49"/>
        <v>0</v>
      </c>
      <c r="K163" s="73">
        <f t="shared" si="49"/>
        <v>0</v>
      </c>
      <c r="L163" s="73">
        <f t="shared" si="49"/>
        <v>0</v>
      </c>
      <c r="M163" s="73">
        <f t="shared" si="49"/>
        <v>0</v>
      </c>
      <c r="N163" s="73">
        <f t="shared" si="49"/>
        <v>0</v>
      </c>
      <c r="O163" s="73">
        <f t="shared" si="49"/>
        <v>0</v>
      </c>
      <c r="P163" s="73">
        <f t="shared" si="49"/>
        <v>0</v>
      </c>
      <c r="Q163" s="73">
        <f t="shared" si="49"/>
        <v>0</v>
      </c>
      <c r="R163" s="26"/>
      <c r="T163" s="22"/>
    </row>
    <row r="164" spans="1:20" s="27" customFormat="1" ht="26.25" customHeight="1" x14ac:dyDescent="0.2">
      <c r="A164" s="92"/>
      <c r="B164" s="92"/>
      <c r="C164" s="94"/>
      <c r="D164" s="13" t="s">
        <v>87</v>
      </c>
      <c r="E164" s="73">
        <f t="shared" si="44"/>
        <v>0</v>
      </c>
      <c r="F164" s="73">
        <f t="shared" si="49"/>
        <v>0</v>
      </c>
      <c r="G164" s="73">
        <f t="shared" si="49"/>
        <v>0</v>
      </c>
      <c r="H164" s="73">
        <f t="shared" si="49"/>
        <v>0</v>
      </c>
      <c r="I164" s="73">
        <f t="shared" si="49"/>
        <v>0</v>
      </c>
      <c r="J164" s="73">
        <f t="shared" si="49"/>
        <v>0</v>
      </c>
      <c r="K164" s="73">
        <f t="shared" si="49"/>
        <v>0</v>
      </c>
      <c r="L164" s="73">
        <f t="shared" si="49"/>
        <v>0</v>
      </c>
      <c r="M164" s="73">
        <f t="shared" si="49"/>
        <v>0</v>
      </c>
      <c r="N164" s="73">
        <f t="shared" si="49"/>
        <v>0</v>
      </c>
      <c r="O164" s="73">
        <f t="shared" si="49"/>
        <v>0</v>
      </c>
      <c r="P164" s="73">
        <f t="shared" si="49"/>
        <v>0</v>
      </c>
      <c r="Q164" s="73">
        <f t="shared" si="49"/>
        <v>0</v>
      </c>
      <c r="R164" s="26"/>
      <c r="T164" s="22"/>
    </row>
    <row r="165" spans="1:20" s="27" customFormat="1" ht="15.75" customHeight="1" x14ac:dyDescent="0.2">
      <c r="A165" s="92"/>
      <c r="B165" s="92"/>
      <c r="C165" s="95"/>
      <c r="D165" s="13" t="s">
        <v>88</v>
      </c>
      <c r="E165" s="73">
        <f>SUM(F165:Q165)</f>
        <v>234054.80688000002</v>
      </c>
      <c r="F165" s="73">
        <f t="shared" si="49"/>
        <v>0</v>
      </c>
      <c r="G165" s="73">
        <f t="shared" si="49"/>
        <v>0</v>
      </c>
      <c r="H165" s="73">
        <f t="shared" si="49"/>
        <v>0</v>
      </c>
      <c r="I165" s="73">
        <f t="shared" si="49"/>
        <v>0</v>
      </c>
      <c r="J165" s="73">
        <f t="shared" si="49"/>
        <v>0</v>
      </c>
      <c r="K165" s="73">
        <f t="shared" si="49"/>
        <v>0</v>
      </c>
      <c r="L165" s="73">
        <f t="shared" si="49"/>
        <v>0</v>
      </c>
      <c r="M165" s="73">
        <f t="shared" si="49"/>
        <v>0</v>
      </c>
      <c r="N165" s="73">
        <f t="shared" si="49"/>
        <v>0</v>
      </c>
      <c r="O165" s="73">
        <f t="shared" si="49"/>
        <v>0</v>
      </c>
      <c r="P165" s="73">
        <f t="shared" si="49"/>
        <v>0</v>
      </c>
      <c r="Q165" s="73">
        <f>Q25+Q46+Q67+Q95+Q102+Q137+Q158+Q109</f>
        <v>234054.80688000002</v>
      </c>
      <c r="R165" s="26"/>
      <c r="T165" s="22"/>
    </row>
    <row r="166" spans="1:20" s="27" customFormat="1" ht="15.75" customHeight="1" x14ac:dyDescent="0.2">
      <c r="A166" s="96" t="s">
        <v>38</v>
      </c>
      <c r="B166" s="96"/>
      <c r="C166" s="96"/>
      <c r="D166" s="15"/>
      <c r="E166" s="3"/>
      <c r="F166" s="3"/>
      <c r="G166" s="3"/>
      <c r="H166" s="3"/>
      <c r="I166" s="3"/>
      <c r="J166" s="3"/>
      <c r="K166" s="1"/>
      <c r="L166" s="3"/>
      <c r="M166" s="3"/>
      <c r="N166" s="3"/>
      <c r="O166" s="3"/>
      <c r="P166" s="3"/>
      <c r="Q166" s="3"/>
      <c r="R166" s="53"/>
      <c r="T166" s="22"/>
    </row>
    <row r="167" spans="1:20" s="27" customFormat="1" ht="15.75" customHeight="1" x14ac:dyDescent="0.25">
      <c r="A167" s="8"/>
      <c r="B167" s="32"/>
      <c r="C167" s="32"/>
      <c r="D167" s="82"/>
      <c r="E167" s="16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53"/>
      <c r="T167" s="22"/>
    </row>
    <row r="168" spans="1:20" s="27" customFormat="1" ht="15.75" customHeight="1" x14ac:dyDescent="0.25">
      <c r="A168" s="8"/>
      <c r="B168" s="32"/>
      <c r="C168" s="32"/>
      <c r="D168" s="82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53"/>
      <c r="T168" s="22"/>
    </row>
    <row r="169" spans="1:20" ht="28.5" customHeight="1" x14ac:dyDescent="0.25">
      <c r="A169" s="97" t="s">
        <v>82</v>
      </c>
      <c r="B169" s="97"/>
      <c r="C169" s="97"/>
      <c r="D169" s="17"/>
      <c r="E169" s="18"/>
      <c r="F169" s="19"/>
      <c r="G169" s="20" t="s">
        <v>83</v>
      </c>
      <c r="H169" s="20"/>
      <c r="I169" s="4"/>
      <c r="J169" s="4"/>
      <c r="K169" s="4"/>
      <c r="L169" s="4"/>
      <c r="M169" s="4"/>
      <c r="N169" s="4"/>
      <c r="O169" s="4"/>
      <c r="P169" s="4"/>
      <c r="Q169" s="4"/>
      <c r="S169" s="22"/>
    </row>
    <row r="170" spans="1:20" ht="15.75" customHeight="1" x14ac:dyDescent="0.2">
      <c r="A170" s="9"/>
      <c r="B170" s="32"/>
      <c r="C170" s="54"/>
      <c r="D170" s="90" t="s">
        <v>39</v>
      </c>
      <c r="E170" s="90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S170" s="22"/>
    </row>
    <row r="171" spans="1:20" ht="81.75" customHeight="1" x14ac:dyDescent="0.25">
      <c r="A171" s="98" t="s">
        <v>84</v>
      </c>
      <c r="B171" s="98"/>
      <c r="C171" s="55"/>
      <c r="D171" s="17"/>
      <c r="E171" s="18"/>
      <c r="F171" s="20"/>
      <c r="G171" s="20" t="s">
        <v>40</v>
      </c>
      <c r="H171" s="20"/>
      <c r="I171" s="4"/>
      <c r="J171" s="4"/>
      <c r="K171" s="4"/>
      <c r="L171" s="4"/>
      <c r="M171" s="4"/>
      <c r="N171" s="4"/>
      <c r="O171" s="4"/>
      <c r="P171" s="4"/>
      <c r="Q171" s="4"/>
    </row>
    <row r="172" spans="1:20" ht="15.75" customHeight="1" x14ac:dyDescent="0.25">
      <c r="A172" s="56"/>
      <c r="B172" s="57"/>
      <c r="C172" s="55"/>
      <c r="D172" s="90" t="s">
        <v>39</v>
      </c>
      <c r="E172" s="90"/>
      <c r="F172" s="20"/>
      <c r="G172" s="20"/>
      <c r="H172" s="20"/>
      <c r="I172" s="4"/>
      <c r="J172" s="4"/>
      <c r="K172" s="4"/>
      <c r="L172" s="4"/>
      <c r="M172" s="4"/>
      <c r="N172" s="4"/>
      <c r="O172" s="4"/>
      <c r="P172" s="4"/>
      <c r="Q172" s="4"/>
    </row>
    <row r="173" spans="1:20" s="8" customFormat="1" ht="15.75" customHeight="1" x14ac:dyDescent="0.25">
      <c r="A173" s="8" t="s">
        <v>92</v>
      </c>
      <c r="B173" s="32"/>
      <c r="C173" s="32"/>
      <c r="D173" s="91"/>
      <c r="E173" s="91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26"/>
      <c r="S173" s="30"/>
    </row>
    <row r="174" spans="1:20" s="21" customFormat="1" x14ac:dyDescent="0.2">
      <c r="B174" s="32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8"/>
      <c r="S174" s="59"/>
    </row>
    <row r="175" spans="1:20" x14ac:dyDescent="0.25">
      <c r="R175" s="62"/>
      <c r="S175" s="63"/>
    </row>
    <row r="176" spans="1:20" x14ac:dyDescent="0.25">
      <c r="R176" s="62"/>
      <c r="S176" s="63"/>
    </row>
    <row r="177" spans="18:19" x14ac:dyDescent="0.25">
      <c r="R177" s="62"/>
      <c r="S177" s="63"/>
    </row>
    <row r="178" spans="18:19" x14ac:dyDescent="0.25">
      <c r="R178" s="62"/>
      <c r="S178" s="63"/>
    </row>
    <row r="179" spans="18:19" x14ac:dyDescent="0.25">
      <c r="R179" s="62"/>
      <c r="S179" s="63"/>
    </row>
    <row r="180" spans="18:19" x14ac:dyDescent="0.25">
      <c r="R180" s="62"/>
      <c r="S180" s="63"/>
    </row>
    <row r="181" spans="18:19" x14ac:dyDescent="0.25">
      <c r="R181" s="62"/>
      <c r="S181" s="63"/>
    </row>
  </sheetData>
  <autoFilter ref="A11:Y167"/>
  <mergeCells count="78">
    <mergeCell ref="F9:Q9"/>
    <mergeCell ref="M1:Q1"/>
    <mergeCell ref="M2:Q2"/>
    <mergeCell ref="M3:Q3"/>
    <mergeCell ref="M4:Q4"/>
    <mergeCell ref="A6:Q6"/>
    <mergeCell ref="A7:Q7"/>
    <mergeCell ref="A9:A10"/>
    <mergeCell ref="B9:B10"/>
    <mergeCell ref="C9:C10"/>
    <mergeCell ref="D9:D10"/>
    <mergeCell ref="E9:E10"/>
    <mergeCell ref="A12:A18"/>
    <mergeCell ref="B12:B18"/>
    <mergeCell ref="C12:C18"/>
    <mergeCell ref="A19:A25"/>
    <mergeCell ref="B19:B25"/>
    <mergeCell ref="C19:C25"/>
    <mergeCell ref="A26:A32"/>
    <mergeCell ref="B26:B32"/>
    <mergeCell ref="C26:C32"/>
    <mergeCell ref="A33:A39"/>
    <mergeCell ref="B33:B39"/>
    <mergeCell ref="C33:C39"/>
    <mergeCell ref="A40:A46"/>
    <mergeCell ref="B40:B46"/>
    <mergeCell ref="C40:C46"/>
    <mergeCell ref="A47:A53"/>
    <mergeCell ref="B47:B53"/>
    <mergeCell ref="C47:C53"/>
    <mergeCell ref="A54:A60"/>
    <mergeCell ref="B54:B60"/>
    <mergeCell ref="C54:C60"/>
    <mergeCell ref="A61:A67"/>
    <mergeCell ref="B61:B67"/>
    <mergeCell ref="C61:C67"/>
    <mergeCell ref="A68:A81"/>
    <mergeCell ref="B68:B81"/>
    <mergeCell ref="C68:C74"/>
    <mergeCell ref="C75:C81"/>
    <mergeCell ref="A82:A88"/>
    <mergeCell ref="B82:B88"/>
    <mergeCell ref="C82:C88"/>
    <mergeCell ref="A89:A95"/>
    <mergeCell ref="B89:B95"/>
    <mergeCell ref="C89:C95"/>
    <mergeCell ref="A96:A102"/>
    <mergeCell ref="B96:B102"/>
    <mergeCell ref="C96:C102"/>
    <mergeCell ref="A103:A109"/>
    <mergeCell ref="B103:B109"/>
    <mergeCell ref="C103:C109"/>
    <mergeCell ref="A110:A123"/>
    <mergeCell ref="B110:B123"/>
    <mergeCell ref="C110:C116"/>
    <mergeCell ref="C117:C123"/>
    <mergeCell ref="A152:A158"/>
    <mergeCell ref="B152:B158"/>
    <mergeCell ref="C152:C158"/>
    <mergeCell ref="A124:A130"/>
    <mergeCell ref="B124:B130"/>
    <mergeCell ref="C124:C130"/>
    <mergeCell ref="A131:A137"/>
    <mergeCell ref="B131:B137"/>
    <mergeCell ref="C131:C137"/>
    <mergeCell ref="A138:A144"/>
    <mergeCell ref="B138:B151"/>
    <mergeCell ref="C138:C144"/>
    <mergeCell ref="A145:A151"/>
    <mergeCell ref="C145:C151"/>
    <mergeCell ref="D172:E172"/>
    <mergeCell ref="D173:E173"/>
    <mergeCell ref="A159:B165"/>
    <mergeCell ref="C159:C165"/>
    <mergeCell ref="A166:C166"/>
    <mergeCell ref="A169:C169"/>
    <mergeCell ref="D170:E170"/>
    <mergeCell ref="A171:B171"/>
  </mergeCells>
  <pageMargins left="0" right="0" top="0.39370078740157483" bottom="0.15748031496062992" header="0.31496062992125984" footer="0.31496062992125984"/>
  <pageSetup paperSize="9" scale="45" orientation="landscape" copies="2" r:id="rId1"/>
  <rowBreaks count="1" manualBreakCount="1">
    <brk id="6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МП 05 по РД 902 от 24.05.</vt:lpstr>
      <vt:lpstr>Лист1</vt:lpstr>
      <vt:lpstr>Лист2</vt:lpstr>
      <vt:lpstr>Лист3</vt:lpstr>
      <vt:lpstr>'МП 05 по РД 902 от 24.05.'!Область_печати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2023-05-25T07:34:13Z</dcterms:modified>
</cp:coreProperties>
</file>